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6.xml" ContentType="application/vnd.openxmlformats-officedocument.spreadsheetml.comments+xml"/>
  <Override PartName="/xl/drawings/drawing4.xml" ContentType="application/vnd.openxmlformats-officedocument.drawing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2760" yWindow="32760" windowWidth="20730" windowHeight="8670" tabRatio="599" firstSheet="3"/>
  </bookViews>
  <sheets>
    <sheet name="ΜΙΣΘΟΔΟΣΙΑ ΜΟΝΙΜΩΝ" sheetId="29" r:id="rId1"/>
    <sheet name="ΜΙΣΘΟΔΟΣΙΑ ΜΟΝΙΜΩΝ Π.Μ." sheetId="16" r:id="rId2"/>
    <sheet name="ΜΙΣΘΟΔΟΣΙΑ ΑΝΑΠΛΗΡΩΤΩΝ" sheetId="14" r:id="rId3"/>
    <sheet name="ΜΙΣΘΟΔΟΣΙΑ ΩΡΟΜΙΣΘΙΩΝ" sheetId="28" r:id="rId4"/>
    <sheet name="ΜΙΣΘΟΔΟΣΙΑ ΜΗΧΑΝΙΚΩΝ" sheetId="33" r:id="rId5"/>
    <sheet name="ΜΙΣΘΟΔΟΣΙΑ ΜΗΧΑΝΙΚΩΝ Π.Μ." sheetId="4" r:id="rId6"/>
    <sheet name="ΜΙΣΘΟΔΟΣΙΑ ΑΝΑΠΛΗΡ. ΜΗΧΑΝΙΚΩΝ" sheetId="1" r:id="rId7"/>
  </sheets>
  <definedNames>
    <definedName name="_xlnm.Print_Area" localSheetId="6">'ΜΙΣΘΟΔΟΣΙΑ ΑΝΑΠΛΗΡ. ΜΗΧΑΝΙΚΩΝ'!$B$2:$I$92</definedName>
    <definedName name="_xlnm.Print_Area" localSheetId="2">'ΜΙΣΘΟΔΟΣΙΑ ΑΝΑΠΛΗΡΩΤΩΝ'!$B$2:$I$98</definedName>
    <definedName name="_xlnm.Print_Area" localSheetId="4">'ΜΙΣΘΟΔΟΣΙΑ ΜΗΧΑΝΙΚΩΝ'!$B$2:$I$97</definedName>
    <definedName name="_xlnm.Print_Area" localSheetId="5">'ΜΙΣΘΟΔΟΣΙΑ ΜΗΧΑΝΙΚΩΝ Π.Μ.'!$B$2:$I$36</definedName>
    <definedName name="_xlnm.Print_Area" localSheetId="0">'ΜΙΣΘΟΔΟΣΙΑ ΜΟΝΙΜΩΝ'!$B$2:$I$99</definedName>
    <definedName name="_xlnm.Print_Area" localSheetId="1">'ΜΙΣΘΟΔΟΣΙΑ ΜΟΝΙΜΩΝ Π.Μ.'!$B$2:$I$36</definedName>
    <definedName name="_xlnm.Print_Area" localSheetId="3">'ΜΙΣΘΟΔΟΣΙΑ ΩΡΟΜΙΣΘΙΩΝ'!$B$2:$I$97</definedName>
    <definedName name="Z_A17760D1_AAE4_45B9_A6C2_F2EA682A6BDE_.wvu.PrintArea" localSheetId="6" hidden="1">'ΜΙΣΘΟΔΟΣΙΑ ΑΝΑΠΛΗΡ. ΜΗΧΑΝΙΚΩΝ'!$B$69:$I$92</definedName>
    <definedName name="Z_A17760D1_AAE4_45B9_A6C2_F2EA682A6BDE_.wvu.PrintArea" localSheetId="2" hidden="1">'ΜΙΣΘΟΔΟΣΙΑ ΑΝΑΠΛΗΡΩΤΩΝ'!$B$69:$I$98</definedName>
    <definedName name="Z_A17760D1_AAE4_45B9_A6C2_F2EA682A6BDE_.wvu.PrintArea" localSheetId="4" hidden="1">'ΜΙΣΘΟΔΟΣΙΑ ΜΗΧΑΝΙΚΩΝ'!$B$69:$I$97</definedName>
    <definedName name="Z_A17760D1_AAE4_45B9_A6C2_F2EA682A6BDE_.wvu.PrintArea" localSheetId="5" hidden="1">'ΜΙΣΘΟΔΟΣΙΑ ΜΗΧΑΝΙΚΩΝ Π.Μ.'!#REF!</definedName>
    <definedName name="Z_A17760D1_AAE4_45B9_A6C2_F2EA682A6BDE_.wvu.PrintArea" localSheetId="0" hidden="1">'ΜΙΣΘΟΔΟΣΙΑ ΜΟΝΙΜΩΝ'!$B$69:$I$99</definedName>
    <definedName name="Z_A17760D1_AAE4_45B9_A6C2_F2EA682A6BDE_.wvu.PrintArea" localSheetId="1" hidden="1">'ΜΙΣΘΟΔΟΣΙΑ ΜΟΝΙΜΩΝ Π.Μ.'!#REF!</definedName>
    <definedName name="Z_A17760D1_AAE4_45B9_A6C2_F2EA682A6BDE_.wvu.PrintArea" localSheetId="3" hidden="1">'ΜΙΣΘΟΔΟΣΙΑ ΩΡΟΜΙΣΘΙΩΝ'!$B$69:$I$97</definedName>
    <definedName name="Z_E0DF0F7C_F986_4E6B_BBD6_2DC4C686FE99_.wvu.PrintArea" localSheetId="6" hidden="1">'ΜΙΣΘΟΔΟΣΙΑ ΑΝΑΠΛΗΡ. ΜΗΧΑΝΙΚΩΝ'!$B$69:$I$92</definedName>
    <definedName name="Z_E0DF0F7C_F986_4E6B_BBD6_2DC4C686FE99_.wvu.PrintArea" localSheetId="2" hidden="1">'ΜΙΣΘΟΔΟΣΙΑ ΑΝΑΠΛΗΡΩΤΩΝ'!$B$69:$I$98</definedName>
    <definedName name="Z_E0DF0F7C_F986_4E6B_BBD6_2DC4C686FE99_.wvu.PrintArea" localSheetId="4" hidden="1">'ΜΙΣΘΟΔΟΣΙΑ ΜΗΧΑΝΙΚΩΝ'!$B$69:$I$95</definedName>
    <definedName name="Z_E0DF0F7C_F986_4E6B_BBD6_2DC4C686FE99_.wvu.PrintArea" localSheetId="5" hidden="1">'ΜΙΣΘΟΔΟΣΙΑ ΜΗΧΑΝΙΚΩΝ Π.Μ.'!#REF!</definedName>
    <definedName name="Z_E0DF0F7C_F986_4E6B_BBD6_2DC4C686FE99_.wvu.PrintArea" localSheetId="0" hidden="1">'ΜΙΣΘΟΔΟΣΙΑ ΜΟΝΙΜΩΝ'!$B$69:$I$97</definedName>
    <definedName name="Z_E0DF0F7C_F986_4E6B_BBD6_2DC4C686FE99_.wvu.PrintArea" localSheetId="1" hidden="1">'ΜΙΣΘΟΔΟΣΙΑ ΜΟΝΙΜΩΝ Π.Μ.'!#REF!</definedName>
    <definedName name="Z_E0DF0F7C_F986_4E6B_BBD6_2DC4C686FE99_.wvu.PrintArea" localSheetId="3" hidden="1">'ΜΙΣΘΟΔΟΣΙΑ ΩΡΟΜΙΣΘΙΩΝ'!$B$69:$I$97</definedName>
  </definedNames>
  <calcPr calcId="125725"/>
  <customWorkbookViews>
    <customWorkbookView name=". - Προσωπική προβολή" guid="{A17760D1-AAE4-45B9-A6C2-F2EA682A6BDE}" mergeInterval="0" personalView="1" maximized="1" windowWidth="796" windowHeight="428" tabRatio="617" activeSheetId="7" showObjects="placeholders"/>
    <customWorkbookView name="ΧΟΥΛΙΑΡΑΣ ΒΑΣΙΛΕΙΟΣ ΤΟΥ ΙΩΑΝΝΗ - Προσωπική προβολή" guid="{E0DF0F7C-F986-4E6B-BBD6-2DC4C686FE99}" mergeInterval="0" personalView="1" maximized="1" windowWidth="796" windowHeight="420" tabRatio="617" activeSheetId="1" showStatusbar="0" showComments="commIndAndComment"/>
  </customWorkbookViews>
</workbook>
</file>

<file path=xl/calcChain.xml><?xml version="1.0" encoding="utf-8"?>
<calcChain xmlns="http://schemas.openxmlformats.org/spreadsheetml/2006/main">
  <c r="H21" i="29"/>
  <c r="H20"/>
  <c r="H18"/>
  <c r="H16"/>
  <c r="K25" i="1"/>
  <c r="L25"/>
  <c r="M25"/>
  <c r="N25"/>
  <c r="O25"/>
  <c r="P25"/>
  <c r="Q25"/>
  <c r="R25"/>
  <c r="S25"/>
  <c r="T25"/>
  <c r="U25"/>
  <c r="V25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K7"/>
  <c r="L7"/>
  <c r="M7"/>
  <c r="N7"/>
  <c r="O7"/>
  <c r="P7"/>
  <c r="Q7"/>
  <c r="R7"/>
  <c r="S7"/>
  <c r="T7"/>
  <c r="U7"/>
  <c r="V7"/>
  <c r="W7"/>
  <c r="L6"/>
  <c r="M6"/>
  <c r="N6"/>
  <c r="O6"/>
  <c r="P6"/>
  <c r="Q6"/>
  <c r="R6"/>
  <c r="S6"/>
  <c r="T6"/>
  <c r="U6"/>
  <c r="V6"/>
  <c r="W6"/>
  <c r="K25" i="33"/>
  <c r="L25"/>
  <c r="M25"/>
  <c r="N25"/>
  <c r="O25"/>
  <c r="P25"/>
  <c r="Q25"/>
  <c r="R25"/>
  <c r="S25"/>
  <c r="T25"/>
  <c r="U25"/>
  <c r="V25"/>
  <c r="K11"/>
  <c r="L11"/>
  <c r="M11"/>
  <c r="N11"/>
  <c r="O11"/>
  <c r="P11"/>
  <c r="Q11"/>
  <c r="R11"/>
  <c r="S11"/>
  <c r="T11"/>
  <c r="U11"/>
  <c r="V11"/>
  <c r="W11"/>
  <c r="K10"/>
  <c r="L10"/>
  <c r="M10"/>
  <c r="N10"/>
  <c r="O10"/>
  <c r="P10"/>
  <c r="Q10"/>
  <c r="R10"/>
  <c r="S10"/>
  <c r="T10"/>
  <c r="U10"/>
  <c r="V10"/>
  <c r="K7"/>
  <c r="L7"/>
  <c r="M7"/>
  <c r="N7"/>
  <c r="O7"/>
  <c r="P7"/>
  <c r="Q7"/>
  <c r="R7"/>
  <c r="S7"/>
  <c r="T7"/>
  <c r="U7"/>
  <c r="V7"/>
  <c r="L6"/>
  <c r="M6"/>
  <c r="N6"/>
  <c r="O6"/>
  <c r="P6"/>
  <c r="Q6"/>
  <c r="R6"/>
  <c r="S6"/>
  <c r="T6"/>
  <c r="U6"/>
  <c r="V6"/>
  <c r="K25" i="28"/>
  <c r="L25"/>
  <c r="M25"/>
  <c r="N25"/>
  <c r="O25"/>
  <c r="P25"/>
  <c r="Q25"/>
  <c r="R25"/>
  <c r="S25"/>
  <c r="T25"/>
  <c r="U25"/>
  <c r="V25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K7"/>
  <c r="L7"/>
  <c r="M7"/>
  <c r="N7"/>
  <c r="O7"/>
  <c r="P7"/>
  <c r="Q7"/>
  <c r="R7"/>
  <c r="S7"/>
  <c r="T7"/>
  <c r="U7"/>
  <c r="V7"/>
  <c r="W7"/>
  <c r="L6"/>
  <c r="M6"/>
  <c r="N6"/>
  <c r="O6"/>
  <c r="P6"/>
  <c r="Q6"/>
  <c r="R6"/>
  <c r="S6"/>
  <c r="T6"/>
  <c r="U6"/>
  <c r="V6"/>
  <c r="W6"/>
  <c r="K25" i="14"/>
  <c r="L25"/>
  <c r="M25"/>
  <c r="N25"/>
  <c r="O25"/>
  <c r="P25"/>
  <c r="Q25"/>
  <c r="R25"/>
  <c r="S25"/>
  <c r="T25"/>
  <c r="U25"/>
  <c r="V25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K7"/>
  <c r="L7"/>
  <c r="M7"/>
  <c r="N7"/>
  <c r="O7"/>
  <c r="P7"/>
  <c r="Q7"/>
  <c r="R7"/>
  <c r="S7"/>
  <c r="T7"/>
  <c r="U7"/>
  <c r="V7"/>
  <c r="W7"/>
  <c r="L6"/>
  <c r="M6"/>
  <c r="N6"/>
  <c r="O6"/>
  <c r="P6"/>
  <c r="Q6"/>
  <c r="R6"/>
  <c r="S6"/>
  <c r="T6"/>
  <c r="U6"/>
  <c r="V6"/>
  <c r="W6"/>
  <c r="E19"/>
  <c r="E74"/>
  <c r="E18"/>
  <c r="E16"/>
  <c r="E19" i="1"/>
  <c r="E18"/>
  <c r="G18"/>
  <c r="E16"/>
  <c r="E17"/>
  <c r="E19" i="33"/>
  <c r="E18"/>
  <c r="G18"/>
  <c r="E19" i="28"/>
  <c r="E18"/>
  <c r="G18"/>
  <c r="E18" i="29"/>
  <c r="E19"/>
  <c r="P83" i="1"/>
  <c r="O83"/>
  <c r="Q82"/>
  <c r="Q81"/>
  <c r="Q80"/>
  <c r="Q79"/>
  <c r="Q78"/>
  <c r="Q77"/>
  <c r="Q76"/>
  <c r="Q73"/>
  <c r="Q83"/>
  <c r="P83" i="28"/>
  <c r="O83"/>
  <c r="Q82"/>
  <c r="Q81"/>
  <c r="Q80"/>
  <c r="Q79"/>
  <c r="Q78"/>
  <c r="Q77"/>
  <c r="Q83"/>
  <c r="Q76"/>
  <c r="Q75"/>
  <c r="Q74"/>
  <c r="Q73"/>
  <c r="Q72"/>
  <c r="P83" i="14"/>
  <c r="O83"/>
  <c r="Q82"/>
  <c r="Q81"/>
  <c r="Q80"/>
  <c r="Q79"/>
  <c r="Q78"/>
  <c r="Q77"/>
  <c r="Q76"/>
  <c r="Q75"/>
  <c r="Q74"/>
  <c r="Q73"/>
  <c r="Q72"/>
  <c r="Q83"/>
  <c r="H79" i="28"/>
  <c r="I89" i="33"/>
  <c r="I91" i="29"/>
  <c r="H81"/>
  <c r="H80" i="33"/>
  <c r="H79" i="1"/>
  <c r="I76"/>
  <c r="I77" i="33"/>
  <c r="E41" i="1"/>
  <c r="E41" i="28"/>
  <c r="E41" i="14"/>
  <c r="E20" i="29"/>
  <c r="E75"/>
  <c r="E41" i="33"/>
  <c r="E41" i="29"/>
  <c r="H79" i="14"/>
  <c r="D98" i="1"/>
  <c r="D99"/>
  <c r="D101"/>
  <c r="D102"/>
  <c r="D103"/>
  <c r="D104"/>
  <c r="D97"/>
  <c r="D103" i="33"/>
  <c r="D104"/>
  <c r="D106"/>
  <c r="D107"/>
  <c r="D108"/>
  <c r="D109"/>
  <c r="D102"/>
  <c r="D88" i="28"/>
  <c r="D89"/>
  <c r="D91"/>
  <c r="D92"/>
  <c r="D93"/>
  <c r="D94"/>
  <c r="D87"/>
  <c r="D88" i="14"/>
  <c r="D89"/>
  <c r="D91"/>
  <c r="D92"/>
  <c r="D93"/>
  <c r="D94"/>
  <c r="D87"/>
  <c r="D11" i="16"/>
  <c r="E72" i="28"/>
  <c r="E21" i="1"/>
  <c r="G21"/>
  <c r="E21" i="33"/>
  <c r="G21"/>
  <c r="D5" i="16"/>
  <c r="D16"/>
  <c r="E17" s="1"/>
  <c r="G16" s="1"/>
  <c r="I16" s="1"/>
  <c r="E17" i="29"/>
  <c r="A4" i="16"/>
  <c r="H16"/>
  <c r="E20" i="1"/>
  <c r="E75"/>
  <c r="E21" i="14"/>
  <c r="E76"/>
  <c r="E20"/>
  <c r="G20"/>
  <c r="I20"/>
  <c r="E17"/>
  <c r="A23" i="4"/>
  <c r="D26" s="1"/>
  <c r="H26" s="1"/>
  <c r="I26" s="1"/>
  <c r="D11"/>
  <c r="D5"/>
  <c r="D22"/>
  <c r="H22"/>
  <c r="I22" s="1"/>
  <c r="D23"/>
  <c r="H23" s="1"/>
  <c r="I23" s="1"/>
  <c r="D24"/>
  <c r="H24" s="1"/>
  <c r="I24" s="1"/>
  <c r="D25"/>
  <c r="H25" s="1"/>
  <c r="I25" s="1"/>
  <c r="E20" i="33"/>
  <c r="E75"/>
  <c r="E17"/>
  <c r="E21" i="28"/>
  <c r="G21"/>
  <c r="I21"/>
  <c r="E20"/>
  <c r="G20"/>
  <c r="I20"/>
  <c r="E17"/>
  <c r="G15"/>
  <c r="I15"/>
  <c r="D71"/>
  <c r="D71" i="33"/>
  <c r="D71" i="1"/>
  <c r="H81" i="33"/>
  <c r="H25"/>
  <c r="I25"/>
  <c r="H24"/>
  <c r="I24"/>
  <c r="H23"/>
  <c r="I23"/>
  <c r="H22"/>
  <c r="I22"/>
  <c r="B13"/>
  <c r="E13"/>
  <c r="B11"/>
  <c r="E11"/>
  <c r="B8"/>
  <c r="E8"/>
  <c r="B5"/>
  <c r="H23" i="28"/>
  <c r="I74"/>
  <c r="H22"/>
  <c r="I22"/>
  <c r="B13"/>
  <c r="E13"/>
  <c r="G13"/>
  <c r="I13"/>
  <c r="B11"/>
  <c r="E12"/>
  <c r="B8"/>
  <c r="E9"/>
  <c r="G8"/>
  <c r="B5"/>
  <c r="D71" i="14"/>
  <c r="B13"/>
  <c r="E13"/>
  <c r="E14"/>
  <c r="B11"/>
  <c r="B8"/>
  <c r="E9"/>
  <c r="B5"/>
  <c r="E21" i="29"/>
  <c r="G21"/>
  <c r="K25"/>
  <c r="L25"/>
  <c r="M25"/>
  <c r="N25"/>
  <c r="O25"/>
  <c r="P25"/>
  <c r="Q25"/>
  <c r="R25"/>
  <c r="S25"/>
  <c r="T25"/>
  <c r="U25"/>
  <c r="V25"/>
  <c r="D71"/>
  <c r="A23" i="16"/>
  <c r="B8"/>
  <c r="E10" s="1"/>
  <c r="D22"/>
  <c r="H22"/>
  <c r="I22"/>
  <c r="D23"/>
  <c r="H23" s="1"/>
  <c r="I23" s="1"/>
  <c r="H24"/>
  <c r="I24"/>
  <c r="D25"/>
  <c r="H25"/>
  <c r="I25"/>
  <c r="D26"/>
  <c r="H26" s="1"/>
  <c r="I26" s="1"/>
  <c r="B13" i="29"/>
  <c r="E13"/>
  <c r="B11"/>
  <c r="E11"/>
  <c r="B8"/>
  <c r="E8"/>
  <c r="B5"/>
  <c r="L6"/>
  <c r="M6"/>
  <c r="N6"/>
  <c r="O6"/>
  <c r="P6"/>
  <c r="Q6"/>
  <c r="R6"/>
  <c r="S6"/>
  <c r="T6"/>
  <c r="U6"/>
  <c r="V6"/>
  <c r="W6"/>
  <c r="E14"/>
  <c r="G13"/>
  <c r="I13"/>
  <c r="K11"/>
  <c r="L11"/>
  <c r="M11"/>
  <c r="N11"/>
  <c r="O11"/>
  <c r="P11"/>
  <c r="Q11"/>
  <c r="R11"/>
  <c r="S11"/>
  <c r="T11"/>
  <c r="U11"/>
  <c r="V11"/>
  <c r="W11"/>
  <c r="K10"/>
  <c r="L10"/>
  <c r="M10"/>
  <c r="N10"/>
  <c r="O10"/>
  <c r="P10"/>
  <c r="Q10"/>
  <c r="R10"/>
  <c r="S10"/>
  <c r="T10"/>
  <c r="U10"/>
  <c r="V10"/>
  <c r="W10"/>
  <c r="K7"/>
  <c r="L7"/>
  <c r="M7"/>
  <c r="N7"/>
  <c r="O7"/>
  <c r="P7"/>
  <c r="Q7"/>
  <c r="R7"/>
  <c r="S7"/>
  <c r="T7"/>
  <c r="U7"/>
  <c r="V7"/>
  <c r="W7"/>
  <c r="E12"/>
  <c r="H84"/>
  <c r="H25"/>
  <c r="I87"/>
  <c r="H24"/>
  <c r="I86"/>
  <c r="H23"/>
  <c r="I88"/>
  <c r="H22"/>
  <c r="B8" i="1"/>
  <c r="E9"/>
  <c r="B5"/>
  <c r="E5"/>
  <c r="I38" i="4"/>
  <c r="B11" i="1"/>
  <c r="E12"/>
  <c r="B13"/>
  <c r="K19" i="4"/>
  <c r="L19"/>
  <c r="K15"/>
  <c r="L15"/>
  <c r="K11"/>
  <c r="L11"/>
  <c r="L7"/>
  <c r="K33"/>
  <c r="L33"/>
  <c r="M33"/>
  <c r="N33"/>
  <c r="O33"/>
  <c r="P33"/>
  <c r="Q33"/>
  <c r="R33"/>
  <c r="K19" i="16"/>
  <c r="L19"/>
  <c r="K15"/>
  <c r="L15"/>
  <c r="M15"/>
  <c r="N15"/>
  <c r="K11"/>
  <c r="L11"/>
  <c r="L7"/>
  <c r="R7"/>
  <c r="S7"/>
  <c r="T7"/>
  <c r="U7"/>
  <c r="V7"/>
  <c r="W7"/>
  <c r="X7"/>
  <c r="K33"/>
  <c r="L33"/>
  <c r="M33"/>
  <c r="N33"/>
  <c r="O33"/>
  <c r="P33"/>
  <c r="Q33"/>
  <c r="R33"/>
  <c r="G15"/>
  <c r="H22" i="14"/>
  <c r="I22"/>
  <c r="H23"/>
  <c r="I23"/>
  <c r="G15" i="4"/>
  <c r="H22" i="1"/>
  <c r="I81"/>
  <c r="H23"/>
  <c r="H87"/>
  <c r="M7" i="16"/>
  <c r="N7"/>
  <c r="O7"/>
  <c r="P7"/>
  <c r="Q7"/>
  <c r="E10" i="14"/>
  <c r="I84" i="33"/>
  <c r="I73" i="28"/>
  <c r="I85" i="33"/>
  <c r="I23" i="29"/>
  <c r="I86" i="33"/>
  <c r="E14" i="28"/>
  <c r="E10"/>
  <c r="E11"/>
  <c r="G11"/>
  <c r="I11"/>
  <c r="E7" i="33"/>
  <c r="E5"/>
  <c r="E72" i="1"/>
  <c r="G15"/>
  <c r="G15" i="14"/>
  <c r="I15"/>
  <c r="E72"/>
  <c r="G21"/>
  <c r="I21"/>
  <c r="E11" i="1"/>
  <c r="Y7" i="16"/>
  <c r="Z7"/>
  <c r="AA7"/>
  <c r="AB7"/>
  <c r="AC7"/>
  <c r="AD7"/>
  <c r="AE7"/>
  <c r="O19" i="4"/>
  <c r="P19"/>
  <c r="Q19"/>
  <c r="R19"/>
  <c r="M19"/>
  <c r="N19"/>
  <c r="S19"/>
  <c r="X19"/>
  <c r="T19"/>
  <c r="U19"/>
  <c r="V19"/>
  <c r="W19"/>
  <c r="O15" i="16"/>
  <c r="E16" i="33"/>
  <c r="E73"/>
  <c r="S33" i="16"/>
  <c r="T33"/>
  <c r="U33"/>
  <c r="V33"/>
  <c r="S33" i="4"/>
  <c r="T33"/>
  <c r="U33"/>
  <c r="V33"/>
  <c r="D16"/>
  <c r="E17" s="1"/>
  <c r="D18"/>
  <c r="E19" s="1"/>
  <c r="G18" s="1"/>
  <c r="E8" i="28"/>
  <c r="E73" i="14"/>
  <c r="E15" i="29"/>
  <c r="G15" s="1"/>
  <c r="E10" i="1"/>
  <c r="G8"/>
  <c r="I8"/>
  <c r="I73" i="14"/>
  <c r="E8" i="1"/>
  <c r="E76"/>
  <c r="E6"/>
  <c r="E7"/>
  <c r="E76" i="29"/>
  <c r="E10" i="33"/>
  <c r="G16" i="1"/>
  <c r="B5" i="4"/>
  <c r="E5" s="1"/>
  <c r="B11"/>
  <c r="E12" s="1"/>
  <c r="G20" i="33"/>
  <c r="M19" i="16"/>
  <c r="N19"/>
  <c r="O19"/>
  <c r="I83" i="33"/>
  <c r="P11" i="4"/>
  <c r="Q11"/>
  <c r="R11"/>
  <c r="S11"/>
  <c r="T11"/>
  <c r="M11"/>
  <c r="N11"/>
  <c r="O11"/>
  <c r="S19" i="16"/>
  <c r="T19"/>
  <c r="U19"/>
  <c r="V19"/>
  <c r="W19"/>
  <c r="P19"/>
  <c r="Q19"/>
  <c r="R19"/>
  <c r="X19"/>
  <c r="G20" i="1"/>
  <c r="E73"/>
  <c r="I22"/>
  <c r="I23" i="28"/>
  <c r="E8" i="14"/>
  <c r="E12"/>
  <c r="D28" i="16"/>
  <c r="H28" s="1"/>
  <c r="I28" s="1"/>
  <c r="E16" i="29"/>
  <c r="G16"/>
  <c r="E73"/>
  <c r="I25"/>
  <c r="I24"/>
  <c r="E10"/>
  <c r="D20" i="4"/>
  <c r="E20" s="1"/>
  <c r="G20" s="1"/>
  <c r="H20" i="16"/>
  <c r="H21"/>
  <c r="G11" i="1"/>
  <c r="E74" i="28"/>
  <c r="E11" i="14"/>
  <c r="G11"/>
  <c r="I11"/>
  <c r="G13"/>
  <c r="I13"/>
  <c r="D18" i="16"/>
  <c r="E18" s="1"/>
  <c r="B13"/>
  <c r="E13" s="1"/>
  <c r="G13" s="1"/>
  <c r="I13" s="1"/>
  <c r="D21"/>
  <c r="E21" s="1"/>
  <c r="G21" s="1"/>
  <c r="I21" s="1"/>
  <c r="D20"/>
  <c r="E20" s="1"/>
  <c r="G20" s="1"/>
  <c r="I20" s="1"/>
  <c r="B5"/>
  <c r="E7" s="1"/>
  <c r="E16"/>
  <c r="D27"/>
  <c r="H27" s="1"/>
  <c r="I27" s="1"/>
  <c r="E14"/>
  <c r="B11"/>
  <c r="E12" s="1"/>
  <c r="G5" i="1"/>
  <c r="G16" i="33"/>
  <c r="E76" i="28"/>
  <c r="E16"/>
  <c r="G16" i="14"/>
  <c r="I16"/>
  <c r="G16" i="28"/>
  <c r="E73"/>
  <c r="I16"/>
  <c r="W7" i="33"/>
  <c r="E12"/>
  <c r="W6"/>
  <c r="E14"/>
  <c r="W10"/>
  <c r="E9"/>
  <c r="G8"/>
  <c r="I8"/>
  <c r="I8" i="28"/>
  <c r="E74" i="1"/>
  <c r="I18" i="28"/>
  <c r="I21" i="1"/>
  <c r="I20"/>
  <c r="I15"/>
  <c r="I18"/>
  <c r="I16"/>
  <c r="I11"/>
  <c r="E11" i="4"/>
  <c r="D21"/>
  <c r="E21" s="1"/>
  <c r="G21" s="1"/>
  <c r="E76" i="33"/>
  <c r="E18" i="4"/>
  <c r="E75" i="14"/>
  <c r="G18"/>
  <c r="I18"/>
  <c r="E74" i="29"/>
  <c r="E72"/>
  <c r="G18"/>
  <c r="G20"/>
  <c r="I20"/>
  <c r="H18" i="16"/>
  <c r="H15"/>
  <c r="I15" s="1"/>
  <c r="I21" i="29"/>
  <c r="I16"/>
  <c r="E15" i="33"/>
  <c r="E72" s="1"/>
  <c r="I18" i="29"/>
  <c r="E6" i="33"/>
  <c r="X11"/>
  <c r="Y11"/>
  <c r="Z11"/>
  <c r="AA11"/>
  <c r="AB11"/>
  <c r="AC11"/>
  <c r="E6" i="29"/>
  <c r="X11"/>
  <c r="Y11"/>
  <c r="Z11"/>
  <c r="AA11"/>
  <c r="AB11"/>
  <c r="AC11"/>
  <c r="E9"/>
  <c r="G8"/>
  <c r="I8"/>
  <c r="X10"/>
  <c r="Y10"/>
  <c r="Z10"/>
  <c r="AA10"/>
  <c r="AB10"/>
  <c r="AC10"/>
  <c r="X10" i="33"/>
  <c r="Y10"/>
  <c r="Z10"/>
  <c r="AA10"/>
  <c r="AB10"/>
  <c r="AC10"/>
  <c r="E5" i="16"/>
  <c r="G8" i="14"/>
  <c r="I8"/>
  <c r="AF19" i="16"/>
  <c r="AG19"/>
  <c r="AH19"/>
  <c r="AI19"/>
  <c r="AJ19"/>
  <c r="AK19"/>
  <c r="AL19"/>
  <c r="AM19"/>
  <c r="Y19"/>
  <c r="Z19"/>
  <c r="AA19"/>
  <c r="AB19"/>
  <c r="AC19"/>
  <c r="AD19"/>
  <c r="AE19"/>
  <c r="Y19" i="4"/>
  <c r="Z19"/>
  <c r="AA19"/>
  <c r="AB19"/>
  <c r="AC19"/>
  <c r="AD19"/>
  <c r="AE19"/>
  <c r="AF19"/>
  <c r="AG19"/>
  <c r="AH19"/>
  <c r="AI19"/>
  <c r="AJ19"/>
  <c r="AK19"/>
  <c r="AL19"/>
  <c r="AM19"/>
  <c r="I5" i="1"/>
  <c r="P11" i="16"/>
  <c r="M11"/>
  <c r="N11"/>
  <c r="O11"/>
  <c r="E5" i="29"/>
  <c r="E7"/>
  <c r="E6" i="16"/>
  <c r="O15" i="4"/>
  <c r="M15"/>
  <c r="N15"/>
  <c r="R7"/>
  <c r="M7"/>
  <c r="N7"/>
  <c r="O7"/>
  <c r="P7"/>
  <c r="Q7"/>
  <c r="I23" i="1"/>
  <c r="I82"/>
  <c r="G11" i="29"/>
  <c r="I11"/>
  <c r="E7" i="28"/>
  <c r="E6"/>
  <c r="E5"/>
  <c r="E9" i="16"/>
  <c r="I85" i="29"/>
  <c r="I22"/>
  <c r="G11" i="33"/>
  <c r="I11"/>
  <c r="P15" i="16"/>
  <c r="Q15"/>
  <c r="R15"/>
  <c r="S15"/>
  <c r="E14" i="1"/>
  <c r="E13"/>
  <c r="E6" i="14"/>
  <c r="E5"/>
  <c r="E7"/>
  <c r="G13" i="33"/>
  <c r="I13"/>
  <c r="E75" i="28"/>
  <c r="U11" i="4"/>
  <c r="E74" i="33"/>
  <c r="I74" i="14"/>
  <c r="E71" i="1"/>
  <c r="G13"/>
  <c r="E33"/>
  <c r="D24"/>
  <c r="G5" i="28"/>
  <c r="E33"/>
  <c r="E34"/>
  <c r="E71"/>
  <c r="G5" i="33"/>
  <c r="E33"/>
  <c r="D26"/>
  <c r="H20" s="1"/>
  <c r="I20" s="1"/>
  <c r="E71"/>
  <c r="E32"/>
  <c r="S7" i="4"/>
  <c r="T7"/>
  <c r="U7"/>
  <c r="V7"/>
  <c r="W7"/>
  <c r="X7"/>
  <c r="Y7"/>
  <c r="Z7"/>
  <c r="AA7"/>
  <c r="AB7"/>
  <c r="AC7"/>
  <c r="AD7"/>
  <c r="AE7"/>
  <c r="AA11"/>
  <c r="AB11"/>
  <c r="AC11"/>
  <c r="AD11"/>
  <c r="AE11"/>
  <c r="V11"/>
  <c r="W11"/>
  <c r="X11"/>
  <c r="Y11"/>
  <c r="Z11"/>
  <c r="P15"/>
  <c r="Q15"/>
  <c r="R15"/>
  <c r="S15"/>
  <c r="G5" i="29"/>
  <c r="E71"/>
  <c r="E32"/>
  <c r="E33"/>
  <c r="X15" i="16"/>
  <c r="T15"/>
  <c r="U15"/>
  <c r="V15"/>
  <c r="W15"/>
  <c r="E71" i="14"/>
  <c r="G5"/>
  <c r="E33"/>
  <c r="U11" i="16"/>
  <c r="Q11"/>
  <c r="R11"/>
  <c r="S11"/>
  <c r="T11"/>
  <c r="X15" i="4"/>
  <c r="T15"/>
  <c r="U15"/>
  <c r="V15"/>
  <c r="W15"/>
  <c r="I73" i="33"/>
  <c r="E77" s="1"/>
  <c r="I78"/>
  <c r="E79" s="1"/>
  <c r="I74"/>
  <c r="AA11" i="16"/>
  <c r="AB11"/>
  <c r="AC11"/>
  <c r="AD11"/>
  <c r="AE11"/>
  <c r="V11"/>
  <c r="W11"/>
  <c r="X11"/>
  <c r="Y11"/>
  <c r="Z11"/>
  <c r="AF15"/>
  <c r="AG15"/>
  <c r="AH15"/>
  <c r="AI15"/>
  <c r="AJ15"/>
  <c r="AK15"/>
  <c r="AL15"/>
  <c r="AM15"/>
  <c r="Y15"/>
  <c r="Z15"/>
  <c r="AA15"/>
  <c r="AB15"/>
  <c r="AC15"/>
  <c r="AD15"/>
  <c r="AE15"/>
  <c r="I5" i="33"/>
  <c r="I78" i="28"/>
  <c r="I77"/>
  <c r="I84"/>
  <c r="E80"/>
  <c r="E82"/>
  <c r="I72"/>
  <c r="E37"/>
  <c r="I5"/>
  <c r="I33"/>
  <c r="I34"/>
  <c r="G33"/>
  <c r="G34"/>
  <c r="E36"/>
  <c r="H24" i="1"/>
  <c r="I24"/>
  <c r="I72"/>
  <c r="E77"/>
  <c r="I73"/>
  <c r="I78"/>
  <c r="I77"/>
  <c r="E79"/>
  <c r="I75"/>
  <c r="I74"/>
  <c r="E78"/>
  <c r="G33" i="14"/>
  <c r="E36"/>
  <c r="I5"/>
  <c r="I33"/>
  <c r="I5" i="29"/>
  <c r="I13" i="1"/>
  <c r="I33"/>
  <c r="G33"/>
  <c r="E36"/>
  <c r="I79" i="29"/>
  <c r="E80"/>
  <c r="I84"/>
  <c r="L76"/>
  <c r="I78"/>
  <c r="I77"/>
  <c r="I76"/>
  <c r="E79"/>
  <c r="I74"/>
  <c r="I82"/>
  <c r="I83"/>
  <c r="I73"/>
  <c r="E78"/>
  <c r="I75"/>
  <c r="I80"/>
  <c r="I72"/>
  <c r="E77"/>
  <c r="E81"/>
  <c r="E94"/>
  <c r="E96" s="1"/>
  <c r="E80" i="14"/>
  <c r="I72"/>
  <c r="I77"/>
  <c r="I84"/>
  <c r="I78"/>
  <c r="I85" i="1"/>
  <c r="I92"/>
  <c r="I80"/>
  <c r="E88"/>
  <c r="I86"/>
  <c r="I79"/>
  <c r="E37"/>
  <c r="E80"/>
  <c r="I87"/>
  <c r="E81"/>
  <c r="E77" i="14"/>
  <c r="I79"/>
  <c r="I79" i="28"/>
  <c r="E77"/>
  <c r="E37" i="14"/>
  <c r="E38"/>
  <c r="E38" i="28"/>
  <c r="E82" i="14"/>
  <c r="K76"/>
  <c r="I81" i="29"/>
  <c r="E37"/>
  <c r="K76" i="1"/>
  <c r="E90"/>
  <c r="K76" i="29"/>
  <c r="E38" i="1"/>
  <c r="AF15" i="4"/>
  <c r="AG15"/>
  <c r="AH15"/>
  <c r="AI15"/>
  <c r="AJ15"/>
  <c r="AK15"/>
  <c r="AL15"/>
  <c r="AM15"/>
  <c r="Y15"/>
  <c r="Z15"/>
  <c r="AA15"/>
  <c r="AB15"/>
  <c r="AC15"/>
  <c r="AD15"/>
  <c r="AE15"/>
  <c r="G60" i="14"/>
  <c r="I60"/>
  <c r="G47"/>
  <c r="I47"/>
  <c r="G41"/>
  <c r="G55"/>
  <c r="I55"/>
  <c r="G54"/>
  <c r="G41" i="28"/>
  <c r="G60"/>
  <c r="I60"/>
  <c r="G54"/>
  <c r="G47"/>
  <c r="I47"/>
  <c r="G54" i="1"/>
  <c r="G42"/>
  <c r="I42"/>
  <c r="G60"/>
  <c r="I60"/>
  <c r="G41"/>
  <c r="G47"/>
  <c r="I47"/>
  <c r="I54"/>
  <c r="I41" i="28"/>
  <c r="G56" i="14"/>
  <c r="I54" i="28"/>
  <c r="G43"/>
  <c r="I43"/>
  <c r="I41" i="14"/>
  <c r="G43" i="1"/>
  <c r="I43"/>
  <c r="G55"/>
  <c r="G42" i="28"/>
  <c r="I42"/>
  <c r="G42" i="14"/>
  <c r="I41" i="1"/>
  <c r="G55" i="28"/>
  <c r="I54" i="14"/>
  <c r="I55" i="28"/>
  <c r="G56"/>
  <c r="G57"/>
  <c r="I57"/>
  <c r="I42" i="14"/>
  <c r="G43"/>
  <c r="I43"/>
  <c r="G44"/>
  <c r="I44"/>
  <c r="G44" i="1"/>
  <c r="I44"/>
  <c r="G44" i="28"/>
  <c r="I56" i="14"/>
  <c r="G58"/>
  <c r="I58"/>
  <c r="G57"/>
  <c r="G45" i="1"/>
  <c r="I45"/>
  <c r="I55"/>
  <c r="G56"/>
  <c r="G57"/>
  <c r="I57"/>
  <c r="I44" i="28"/>
  <c r="G45"/>
  <c r="I45"/>
  <c r="I56"/>
  <c r="G46"/>
  <c r="I46"/>
  <c r="G58"/>
  <c r="I58"/>
  <c r="I56" i="1"/>
  <c r="I61"/>
  <c r="G63"/>
  <c r="I84"/>
  <c r="G59"/>
  <c r="I59"/>
  <c r="G58"/>
  <c r="I58"/>
  <c r="G46"/>
  <c r="I46"/>
  <c r="I48"/>
  <c r="G50"/>
  <c r="I71"/>
  <c r="I88"/>
  <c r="E91"/>
  <c r="E92"/>
  <c r="G46" i="14"/>
  <c r="I46"/>
  <c r="G48" i="28"/>
  <c r="I57" i="14"/>
  <c r="I61"/>
  <c r="G63"/>
  <c r="I76"/>
  <c r="G45"/>
  <c r="I45"/>
  <c r="I48"/>
  <c r="G50"/>
  <c r="I71"/>
  <c r="I80"/>
  <c r="E83"/>
  <c r="E84"/>
  <c r="G59"/>
  <c r="I59"/>
  <c r="G48"/>
  <c r="G61"/>
  <c r="G59" i="28"/>
  <c r="G48" i="1"/>
  <c r="G61"/>
  <c r="I48" i="28"/>
  <c r="G50"/>
  <c r="I71"/>
  <c r="I59"/>
  <c r="I61"/>
  <c r="G63"/>
  <c r="I76"/>
  <c r="I80"/>
  <c r="E83"/>
  <c r="E84"/>
  <c r="G61"/>
  <c r="L76" i="33" l="1"/>
  <c r="I72"/>
  <c r="E92"/>
  <c r="I81"/>
  <c r="I82"/>
  <c r="G11" i="4"/>
  <c r="G5" i="16"/>
  <c r="G33" i="29"/>
  <c r="E36" s="1"/>
  <c r="E38" s="1"/>
  <c r="I15"/>
  <c r="I33" s="1"/>
  <c r="H16" i="33"/>
  <c r="I16" s="1"/>
  <c r="I75"/>
  <c r="E78" s="1"/>
  <c r="E80" s="1"/>
  <c r="E8" i="16"/>
  <c r="G8" s="1"/>
  <c r="I8" s="1"/>
  <c r="E16" i="4"/>
  <c r="G16" s="1"/>
  <c r="E19" i="16"/>
  <c r="G18" s="1"/>
  <c r="I18" s="1"/>
  <c r="I79" i="33"/>
  <c r="H26"/>
  <c r="I26" s="1"/>
  <c r="H21"/>
  <c r="I21" s="1"/>
  <c r="G15"/>
  <c r="E6" i="4"/>
  <c r="G5" s="1"/>
  <c r="E11" i="16"/>
  <c r="G11" s="1"/>
  <c r="I11" s="1"/>
  <c r="E7" i="4"/>
  <c r="B13"/>
  <c r="D27"/>
  <c r="H27" s="1"/>
  <c r="I27" s="1"/>
  <c r="I76" i="33"/>
  <c r="I80" s="1"/>
  <c r="H18"/>
  <c r="I18" s="1"/>
  <c r="B8" i="4"/>
  <c r="E13" l="1"/>
  <c r="G13" s="1"/>
  <c r="E14"/>
  <c r="I5" i="16"/>
  <c r="I36" s="1"/>
  <c r="G36"/>
  <c r="E37" i="33"/>
  <c r="E10" i="4"/>
  <c r="E9"/>
  <c r="E35" s="1"/>
  <c r="G32" i="33" s="1"/>
  <c r="E8" i="4"/>
  <c r="K76" i="33"/>
  <c r="E94"/>
  <c r="E36" i="16"/>
  <c r="I15" i="33"/>
  <c r="I33" s="1"/>
  <c r="G33"/>
  <c r="E36" s="1"/>
  <c r="E38" s="1"/>
  <c r="G42" i="29"/>
  <c r="I42" s="1"/>
  <c r="G47"/>
  <c r="I47" s="1"/>
  <c r="G43"/>
  <c r="I43" s="1"/>
  <c r="G55"/>
  <c r="I55" s="1"/>
  <c r="G41"/>
  <c r="G60"/>
  <c r="I60" s="1"/>
  <c r="G54"/>
  <c r="E35" i="16"/>
  <c r="G32" i="29" s="1"/>
  <c r="I41" l="1"/>
  <c r="G45"/>
  <c r="I45" s="1"/>
  <c r="G44"/>
  <c r="G55" i="33"/>
  <c r="I55" s="1"/>
  <c r="G42"/>
  <c r="I42" s="1"/>
  <c r="G60"/>
  <c r="I60" s="1"/>
  <c r="G47"/>
  <c r="I47" s="1"/>
  <c r="G54"/>
  <c r="G57"/>
  <c r="I57" s="1"/>
  <c r="G41"/>
  <c r="G56"/>
  <c r="I56" s="1"/>
  <c r="I54" i="29"/>
  <c r="G8" i="4"/>
  <c r="E36"/>
  <c r="D28" s="1"/>
  <c r="G56" i="29"/>
  <c r="G57"/>
  <c r="I57" s="1"/>
  <c r="I56" l="1"/>
  <c r="G59"/>
  <c r="I59" s="1"/>
  <c r="G58"/>
  <c r="I58" s="1"/>
  <c r="I61"/>
  <c r="G63" s="1"/>
  <c r="I93" s="1"/>
  <c r="G59" i="33"/>
  <c r="I59" s="1"/>
  <c r="I41"/>
  <c r="G36" i="4"/>
  <c r="H5"/>
  <c r="H21"/>
  <c r="I21" s="1"/>
  <c r="H28"/>
  <c r="I28" s="1"/>
  <c r="H15"/>
  <c r="I15" s="1"/>
  <c r="H18"/>
  <c r="I18" s="1"/>
  <c r="H16"/>
  <c r="I16" s="1"/>
  <c r="H20"/>
  <c r="I20" s="1"/>
  <c r="I54" i="33"/>
  <c r="I61" s="1"/>
  <c r="G63" s="1"/>
  <c r="I91" s="1"/>
  <c r="G61"/>
  <c r="I44" i="29"/>
  <c r="G46"/>
  <c r="G58" i="33"/>
  <c r="I58" s="1"/>
  <c r="G43"/>
  <c r="I43" s="1"/>
  <c r="I11" i="4" l="1"/>
  <c r="I5"/>
  <c r="I13"/>
  <c r="G44" i="33"/>
  <c r="G61" i="29"/>
  <c r="I46"/>
  <c r="I48" s="1"/>
  <c r="G50" s="1"/>
  <c r="I71" s="1"/>
  <c r="I94" s="1"/>
  <c r="E97" s="1"/>
  <c r="E98" s="1"/>
  <c r="E99" s="1"/>
  <c r="G48"/>
  <c r="I8" i="4"/>
  <c r="I44" i="33" l="1"/>
  <c r="G45"/>
  <c r="I45" s="1"/>
  <c r="I36" i="4"/>
  <c r="G46" i="33" l="1"/>
  <c r="I46" l="1"/>
  <c r="I48" s="1"/>
  <c r="G50" s="1"/>
  <c r="I71" s="1"/>
  <c r="I92" s="1"/>
  <c r="E95" s="1"/>
  <c r="E96" s="1"/>
  <c r="E97" s="1"/>
  <c r="G48"/>
</calcChain>
</file>

<file path=xl/comments1.xml><?xml version="1.0" encoding="utf-8"?>
<comments xmlns="http://schemas.openxmlformats.org/spreadsheetml/2006/main">
  <authors>
    <author>ΧΟΥΛΙΑΡΑΣ ΒΑΣΙΛΕΙΟΣ ΤΟΥ ΙΩΑΝΝΗ</author>
    <author>ΧΟΥΛΙΑΡΑΣ ΒΑΣΙΛΕΙΟΣ</author>
    <author>.</author>
  </authors>
  <commentList>
    <comment ref="A4" authorId="0">
      <text>
        <r>
          <rPr>
            <sz val="8"/>
            <color indexed="81"/>
            <rFont val="Tahoma"/>
            <family val="2"/>
            <charset val="161"/>
          </rPr>
          <t xml:space="preserve">ΓΡΑΨΤΕ  </t>
        </r>
        <r>
          <rPr>
            <b/>
            <sz val="8"/>
            <color indexed="81"/>
            <rFont val="Tahoma"/>
            <family val="2"/>
          </rPr>
          <t xml:space="preserve">1  </t>
        </r>
        <r>
          <rPr>
            <sz val="8"/>
            <color indexed="81"/>
            <rFont val="Tahoma"/>
            <family val="2"/>
            <charset val="161"/>
          </rPr>
          <t xml:space="preserve">ΑΝ  ΕΧΕΤΕ  </t>
        </r>
        <r>
          <rPr>
            <b/>
            <sz val="8"/>
            <color indexed="81"/>
            <rFont val="Tahoma"/>
            <family val="2"/>
          </rPr>
          <t>ΠΡΩΤΟΑΣΦΑΛΙΣΤΕΙ</t>
        </r>
        <r>
          <rPr>
            <sz val="8"/>
            <color indexed="81"/>
            <rFont val="Tahoma"/>
            <family val="2"/>
            <charset val="161"/>
          </rPr>
          <t xml:space="preserve">  ΜΕΤΑ ΤΗΝ </t>
        </r>
        <r>
          <rPr>
            <b/>
            <sz val="8"/>
            <color indexed="81"/>
            <rFont val="Tahoma"/>
            <family val="2"/>
          </rPr>
          <t>1/1/1993</t>
        </r>
        <r>
          <rPr>
            <sz val="8"/>
            <color indexed="81"/>
            <rFont val="Tahoma"/>
            <family val="2"/>
            <charset val="161"/>
          </rPr>
          <t xml:space="preserve"> (ΝΕΟΣ ΑΣΦΑΛΙΣΜΕΝΟΣ) ΔΙΑΦΟΡΕΤΙΚΑ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  <charset val="161"/>
          </rPr>
          <t xml:space="preserve"> Ή  ΚΕΝΟ    </t>
        </r>
      </text>
    </comment>
    <comment ref="D5" authorId="0">
      <text>
        <r>
          <rPr>
            <sz val="8"/>
            <color indexed="81"/>
            <rFont val="Tahoma"/>
            <family val="2"/>
            <charset val="161"/>
          </rPr>
          <t>ΓΡΑΨΤΕ ΤΟ</t>
        </r>
        <r>
          <rPr>
            <b/>
            <sz val="8"/>
            <color indexed="81"/>
            <rFont val="Tahoma"/>
            <family val="2"/>
          </rPr>
          <t xml:space="preserve"> Μ. Κ.</t>
        </r>
      </text>
    </comment>
    <comment ref="D9" authorId="0">
      <text>
        <r>
          <rPr>
            <sz val="8"/>
            <color indexed="81"/>
            <rFont val="Tahoma"/>
            <family val="2"/>
            <charset val="161"/>
          </rPr>
          <t>ΓΡΑΨΤΕ ΤΟΝ</t>
        </r>
        <r>
          <rPr>
            <sz val="9"/>
            <color indexed="81"/>
            <rFont val="Tahoma"/>
            <family val="2"/>
            <charset val="161"/>
          </rPr>
          <t xml:space="preserve"> </t>
        </r>
        <r>
          <rPr>
            <b/>
            <sz val="9"/>
            <color indexed="81"/>
            <rFont val="Tahoma"/>
            <family val="2"/>
            <charset val="161"/>
          </rPr>
          <t xml:space="preserve">ΒΑΘΜΟ ΣΤ, Ε, Δ, Γ, Β </t>
        </r>
        <r>
          <rPr>
            <sz val="9"/>
            <color indexed="81"/>
            <rFont val="Tahoma"/>
            <family val="2"/>
            <charset val="161"/>
          </rPr>
          <t>ή</t>
        </r>
        <r>
          <rPr>
            <b/>
            <sz val="9"/>
            <color indexed="81"/>
            <rFont val="Tahoma"/>
            <family val="2"/>
            <charset val="161"/>
          </rPr>
          <t xml:space="preserve"> Α 
</t>
        </r>
        <r>
          <rPr>
            <sz val="8"/>
            <color indexed="81"/>
            <rFont val="Tahoma"/>
            <family val="2"/>
            <charset val="161"/>
          </rPr>
          <t xml:space="preserve">ΠΟΥ ΚΑΤΕΙΧΑΤΕ ΣΤΙΣ </t>
        </r>
        <r>
          <rPr>
            <b/>
            <sz val="8"/>
            <color indexed="81"/>
            <rFont val="Tahoma"/>
            <family val="2"/>
            <charset val="161"/>
          </rPr>
          <t>31/12/2015</t>
        </r>
        <r>
          <rPr>
            <sz val="8"/>
            <color indexed="81"/>
            <rFont val="Tahoma"/>
            <family val="2"/>
            <charset val="161"/>
          </rPr>
          <t xml:space="preserve">      </t>
        </r>
        <r>
          <rPr>
            <b/>
            <sz val="8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>ΜΟΝΟΝ</t>
        </r>
        <r>
          <rPr>
            <b/>
            <sz val="9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ΜΕ ΕΛΛΗΝΙΚΟΥΣ ΧΑΡΑΚΤΗΡΕΣ ΔΙΑΦΟΡΕΤΙΚΑ ΓΡΑΨΤΕ  </t>
        </r>
        <r>
          <rPr>
            <b/>
            <sz val="8"/>
            <color indexed="81"/>
            <rFont val="Tahoma"/>
            <family val="2"/>
            <charset val="161"/>
          </rPr>
          <t xml:space="preserve">0 </t>
        </r>
        <r>
          <rPr>
            <sz val="8"/>
            <color indexed="81"/>
            <rFont val="Tahoma"/>
            <family val="2"/>
            <charset val="161"/>
          </rPr>
          <t xml:space="preserve"> Ή  ΚΕΝΟ </t>
        </r>
      </text>
    </comment>
    <comment ref="D13" authorId="1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Μ.Κ</t>
        </r>
        <r>
          <rPr>
            <sz val="8"/>
            <color indexed="81"/>
            <rFont val="Tahoma"/>
            <family val="2"/>
            <charset val="161"/>
          </rPr>
          <t xml:space="preserve">. ΤΟΥ ΒΑΘΜΟΥ ΠΟΥ ΚΑΤΕΙΧΑΤΕ ΣΤΙΣ 31/12/2015
ΔΙΑΦΟΡΕΤΙΚΑ ΓΡΑΨΤΕ </t>
        </r>
        <r>
          <rPr>
            <b/>
            <sz val="8"/>
            <color indexed="81"/>
            <rFont val="Tahoma"/>
            <family val="2"/>
            <charset val="161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 </t>
        </r>
      </text>
    </comment>
    <comment ref="D16" author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</rPr>
          <t>ΠΛΗΘΟΣ</t>
        </r>
        <r>
          <rPr>
            <b/>
            <sz val="8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ΤΩΝ ΠΑΙΔΙΩΝ:
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ΑΓΑΜΟ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  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ΕΓΓΑΜΟ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1  ΠΑΙΔΙ</t>
        </r>
        <r>
          <rPr>
            <sz val="8"/>
            <color indexed="81"/>
            <rFont val="Tahoma"/>
            <family val="2"/>
            <charset val="161"/>
          </rPr>
          <t xml:space="preserve">: </t>
        </r>
        <r>
          <rPr>
            <b/>
            <sz val="8"/>
            <color indexed="81"/>
            <rFont val="Tahoma"/>
            <family val="2"/>
            <charset val="161"/>
          </rPr>
          <t xml:space="preserve">1   </t>
        </r>
        <r>
          <rPr>
            <sz val="8"/>
            <color indexed="81"/>
            <rFont val="Tahoma"/>
            <family val="2"/>
            <charset val="161"/>
          </rPr>
          <t xml:space="preserve"> ΜΕ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</t>
        </r>
        <r>
          <rPr>
            <b/>
            <sz val="8"/>
            <color indexed="81"/>
            <rFont val="Tahoma"/>
            <family val="2"/>
            <charset val="161"/>
          </rPr>
          <t>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2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3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3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4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4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5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5   </t>
        </r>
        <r>
          <rPr>
            <sz val="8"/>
            <color indexed="81"/>
            <rFont val="Tahoma"/>
            <family val="2"/>
            <charset val="161"/>
          </rPr>
          <t xml:space="preserve">ΜΕ  </t>
        </r>
        <r>
          <rPr>
            <b/>
            <sz val="8"/>
            <color indexed="81"/>
            <rFont val="Tahoma"/>
            <family val="2"/>
            <charset val="161"/>
          </rPr>
          <t>6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6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7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7 </t>
        </r>
        <r>
          <rPr>
            <sz val="8"/>
            <color indexed="81"/>
            <rFont val="Tahoma"/>
            <family val="2"/>
            <charset val="161"/>
          </rPr>
          <t xml:space="preserve">  ΜΕ</t>
        </r>
        <r>
          <rPr>
            <b/>
            <sz val="8"/>
            <color indexed="81"/>
            <rFont val="Tahoma"/>
            <family val="2"/>
            <charset val="161"/>
          </rPr>
          <t xml:space="preserve">  8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8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9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9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10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>10</t>
        </r>
      </text>
    </comment>
    <comment ref="D18" author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ΜΑΘΗΤΕΣ≥120 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ΜΑΘΗΤΕΣ&lt;120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ΓΥΜΝΑΣΙΟΥ Ή ΕΠΑ.Σ. 'Η  Ε.Κ. 'Η   Σ.Δ.Ε Ή Ε.Σ.Κ. Ή Κ.Ε.Κ. Ή ΔΙΕΥΘΥΝΤΗ ΔΗΜΟΤΙΚΟΥ ΣΧΟΛΕΙΟΥ </t>
        </r>
        <r>
          <rPr>
            <sz val="8"/>
            <color indexed="81"/>
            <rFont val="Arial"/>
            <family val="2"/>
            <charset val="161"/>
          </rPr>
          <t xml:space="preserve">≥ </t>
        </r>
        <r>
          <rPr>
            <sz val="8"/>
            <color indexed="81"/>
            <rFont val="Tahoma"/>
            <family val="2"/>
            <charset val="161"/>
          </rPr>
          <t xml:space="preserve">4/ΘΕΣΙΟΥ ΚΑΙ ΜΕ ΜΑΘΗΤΕΣ ≥ 120
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sz val="8"/>
            <color indexed="81"/>
            <rFont val="Tahoma"/>
            <family val="2"/>
            <charset val="161"/>
          </rPr>
          <t xml:space="preserve">ΓΙΑ ΔΙΕΥΘΥΝΤΗ ΓΥΜΝΑΣΙΟΥ Ή ΕΠΑ.Σ. 'Η  Ε.Κ. Ή  Σ.Δ.Ε. Ή Ε.Σ.Κ. Ή Κ.Ε.Κ. Ή ΔΙΕΥΘΥΝΤΗ ΔΗΜΟΤΙΚΟΥ ΣΧΟΛΕΙΟΥ ≥ 4/ΘΕΣΙΟΥ ΚΑΙ ΜΕ ΜΑΘΗΤΕΣ &lt;120                         
ΓΡΑΨΤΕ </t>
        </r>
        <r>
          <rPr>
            <b/>
            <sz val="8"/>
            <color indexed="81"/>
            <rFont val="Tahoma"/>
            <family val="2"/>
            <charset val="161"/>
          </rPr>
          <t>5</t>
        </r>
        <r>
          <rPr>
            <sz val="8"/>
            <color indexed="81"/>
            <rFont val="Tahoma"/>
            <family val="2"/>
            <charset val="161"/>
          </rPr>
          <t xml:space="preserve"> ΓΙΑ ΥΠΟΔΙΕΥΘΥΝΤΗ ΣΧΟΛΙΚΗΣ ΜΟΝΑΔΑΣ Ή Ε.Κ. Ή  Σ.Δ.Ε. Ή  Ι.Ε.Κ. 'Η  Ε.Σ.Κ. Ή  ΥΠΕΥΘΥΝΟ ΤΟΜΕΑ  Ε.Κ. Ή ΓΙΑ ΠΡΟΪΣΤΑΜΕΝΟ Κ.Ε.ΠΕ.Α.                  
ΓΡΑΨΤΕ</t>
        </r>
        <r>
          <rPr>
            <b/>
            <sz val="8"/>
            <color indexed="81"/>
            <rFont val="Tahoma"/>
            <family val="2"/>
          </rPr>
          <t xml:space="preserve"> 6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ΔΗΜΟΤΙΚΟΥ ΣΧΟΛΕΙΟΥ 
</t>
        </r>
        <r>
          <rPr>
            <sz val="8"/>
            <color indexed="81"/>
            <rFont val="Arial"/>
            <family val="2"/>
            <charset val="161"/>
          </rPr>
          <t>≤</t>
        </r>
        <r>
          <rPr>
            <sz val="8"/>
            <color indexed="81"/>
            <rFont val="Tahoma"/>
            <family val="2"/>
            <charset val="161"/>
          </rPr>
          <t xml:space="preserve"> 3/ΘΕΣΙΟΥ Ή ΝΗΠΙΑΓΩΓΕΙΟΥ Ή ΠΑΙΔΙΚΟΥ ΣΤΑΘΜΟΥ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7</t>
        </r>
        <r>
          <rPr>
            <sz val="8"/>
            <color indexed="81"/>
            <rFont val="Tahoma"/>
            <family val="2"/>
            <charset val="161"/>
          </rPr>
          <t xml:space="preserve"> ΓΙΑ ΣΧΟΛΙΚΟ ΣΥΜΒΟΥΛΟ ΕΚΠΑΙΔΕΥΣΗΣ 
ΓΡΑΨΤΕ </t>
        </r>
        <r>
          <rPr>
            <b/>
            <sz val="8"/>
            <color indexed="81"/>
            <rFont val="Tahoma"/>
            <family val="2"/>
            <charset val="161"/>
          </rPr>
          <t>8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ΔΙΕΥΘΥΝΣΗΣ ΕΚΠΑΙΔΕΥΣΗΣ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9 </t>
        </r>
        <r>
          <rPr>
            <sz val="8"/>
            <color indexed="81"/>
            <rFont val="Tahoma"/>
            <family val="2"/>
            <charset val="161"/>
          </rPr>
          <t xml:space="preserve">ΓΙΑ ΠΡΟΪΣΤΑΜΕΝΟ ΚΕ.Δ.Α.Σ.Υ.   
ΓΡΑΨΤΕ </t>
        </r>
        <r>
          <rPr>
            <b/>
            <sz val="8"/>
            <color indexed="81"/>
            <rFont val="Tahoma"/>
            <family val="2"/>
            <charset val="161"/>
          </rPr>
          <t>10</t>
        </r>
        <r>
          <rPr>
            <sz val="8"/>
            <color indexed="81"/>
            <rFont val="Tahoma"/>
            <family val="2"/>
            <charset val="161"/>
          </rPr>
          <t xml:space="preserve"> ΓΙΑ ΕΠΟΠΤΗ ΠΟΙΟΤΗΤΑΣ ΤΗΣ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11</t>
        </r>
        <r>
          <rPr>
            <sz val="8"/>
            <color indexed="81"/>
            <rFont val="Tahoma"/>
            <family val="2"/>
            <charset val="161"/>
          </rPr>
          <t xml:space="preserve"> ΓΙΑ ΠΕΡΙΦΕΡΕΙΑΚΟ ΔΙΕΥΘΥΝΤΗ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12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ΔΙΟΙΚΗΣΗΣ
ΓΡΑΨΤΕ </t>
        </r>
        <r>
          <rPr>
            <b/>
            <sz val="8"/>
            <color indexed="81"/>
            <rFont val="Tahoma"/>
            <family val="2"/>
            <charset val="161"/>
          </rPr>
          <t>13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ΕΚΠΑΙΔΕΥΤΙΚΩΝ ΘΕΜΑΤΩΝ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
</t>
        </r>
      </text>
    </comment>
    <comment ref="D20" author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1</t>
        </r>
        <r>
          <rPr>
            <sz val="8"/>
            <color indexed="81"/>
            <rFont val="Tahoma"/>
            <family val="2"/>
            <charset val="161"/>
          </rPr>
          <t xml:space="preserve"> ΓΙΑ ΑΠΟΜΑΚΡΥΣΜΕΝΕΣ 
ΚΑΙ  ΠΑΡΑΜΕΘΟΡΙΕΣ  ΠΕΡΙΟΧΕΣ
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      </t>
        </r>
      </text>
    </comment>
    <comment ref="D21" author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  <charset val="161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ΤΗΝ Α΄ΚΑΤΗΓΟΡΙΑ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ΤΗΝ Β΄ΚΑΤΗΓΟΡΙΑ ΓΡΑΨΤΕ </t>
        </r>
        <r>
          <rPr>
            <b/>
            <sz val="8"/>
            <color indexed="81"/>
            <rFont val="Tahoma"/>
            <family val="2"/>
            <charset val="161"/>
          </rPr>
          <t>3</t>
        </r>
        <r>
          <rPr>
            <sz val="8"/>
            <color indexed="81"/>
            <rFont val="Tahoma"/>
            <family val="2"/>
            <charset val="161"/>
          </rPr>
          <t xml:space="preserve"> ΓΙΑ ΤΗΝ Γ΄ΚΑΤΗΓΟΡΑ
ΔΙΑΦΟΡΕΤΙΚΑ 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0</t>
        </r>
        <r>
          <rPr>
            <sz val="8"/>
            <color indexed="81"/>
            <rFont val="Tahoma"/>
            <family val="2"/>
            <charset val="161"/>
          </rPr>
          <t xml:space="preserve"> Ή ΚΕΝΟ      </t>
        </r>
      </text>
    </comment>
    <comment ref="D22" author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ΤΗΣ ΔΙΑΔΟΧΙΚΗΣ ΑΣΦΑΛΙΣΗΣ 'Η ΤΗΣ ΕΞΑΓΟΡΑΣ ΤΑΜΕΙΩΝ ΔΙΑΦΟΡΕΤΙΚΑ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  <charset val="161"/>
          </rPr>
          <t xml:space="preserve"> Ή ΚΕΝΟ </t>
        </r>
      </text>
    </comment>
    <comment ref="A23" author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</rPr>
          <t xml:space="preserve">  1 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Π. Ε.</t>
        </r>
        <r>
          <rPr>
            <sz val="8"/>
            <color indexed="81"/>
            <rFont val="Tahoma"/>
            <family val="2"/>
            <charset val="161"/>
          </rPr>
          <t xml:space="preserve">  
ΓΡΑΨΤΕ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ΓΙΑ  </t>
        </r>
        <r>
          <rPr>
            <b/>
            <sz val="8"/>
            <color indexed="81"/>
            <rFont val="Tahoma"/>
            <family val="2"/>
            <charset val="161"/>
          </rPr>
          <t>Τ. Ε.</t>
        </r>
        <r>
          <rPr>
            <sz val="8"/>
            <color indexed="81"/>
            <rFont val="Tahoma"/>
            <family val="2"/>
            <charset val="161"/>
          </rPr>
          <t xml:space="preserve">   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 ΓΙΑ  </t>
        </r>
        <r>
          <rPr>
            <b/>
            <sz val="8"/>
            <color indexed="81"/>
            <rFont val="Tahoma"/>
            <family val="2"/>
            <charset val="161"/>
          </rPr>
          <t>Δ. Ε.</t>
        </r>
        <r>
          <rPr>
            <sz val="8"/>
            <color indexed="81"/>
            <rFont val="Tahoma"/>
            <family val="2"/>
            <charset val="161"/>
          </rPr>
          <t xml:space="preserve"> ΓΡΑΨΤΕ 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Υ. Ε</t>
        </r>
        <r>
          <rPr>
            <sz val="8"/>
            <color indexed="81"/>
            <rFont val="Tahoma"/>
            <family val="2"/>
            <charset val="161"/>
          </rPr>
          <t xml:space="preserve">.        </t>
        </r>
      </text>
    </comment>
    <comment ref="D23" authorId="0">
      <text>
        <r>
          <rPr>
            <sz val="8"/>
            <color indexed="81"/>
            <rFont val="Tahoma"/>
            <family val="2"/>
            <charset val="161"/>
          </rPr>
          <t>ΓΡΑΨΤΕ ΤΟ</t>
        </r>
        <r>
          <rPr>
            <b/>
            <sz val="8"/>
            <color indexed="81"/>
            <rFont val="Tahoma"/>
            <family val="2"/>
            <charset val="161"/>
          </rPr>
          <t xml:space="preserve"> 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ΤΗΣ ΑΡΧΙΚΗΣ ΕΙΣΦΟΡΑΣ ΓΙΑ ΝΕΟΔΙΟΡΙΣΤΟ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ΚΕΝΟ </t>
        </r>
      </text>
    </comment>
    <comment ref="D24" authorId="2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 xml:space="preserve">ΜΗΝΙΑΙΟ ΠΟΣΟ </t>
        </r>
        <r>
          <rPr>
            <sz val="8"/>
            <color indexed="81"/>
            <rFont val="Tahoma"/>
            <family val="2"/>
            <charset val="161"/>
          </rPr>
          <t xml:space="preserve">ΤΗΣ ΕΙΣΦΟΡΑΣ ΔΙΑΦΟΡΕΤΙΚΑ ΓΡΑΨΤΕ </t>
        </r>
        <r>
          <rPr>
            <b/>
            <sz val="8"/>
            <color indexed="81"/>
            <rFont val="Tahoma"/>
            <family val="2"/>
          </rPr>
          <t xml:space="preserve"> 0  </t>
        </r>
        <r>
          <rPr>
            <sz val="8"/>
            <color indexed="81"/>
            <rFont val="Tahoma"/>
            <family val="2"/>
            <charset val="161"/>
          </rPr>
          <t>Ή ΚΕΝΟ</t>
        </r>
      </text>
    </comment>
    <comment ref="D25" authorId="2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ΤΩΝ ΑΧΡΕΩΣΤΗΤΩΝ ΚΑΤΑΒΛΗΘΕΝΤΩΝ 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</t>
        </r>
      </text>
    </comment>
    <comment ref="D26" authorId="1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ΤΟ ΠΛΗΘΟΣ </t>
        </r>
        <r>
          <rPr>
            <sz val="8"/>
            <color indexed="81"/>
            <rFont val="Tahoma"/>
            <family val="2"/>
            <charset val="161"/>
          </rPr>
          <t xml:space="preserve">ΤΩΝ ΦΟΡΟΛΟΓΙΚΑ </t>
        </r>
        <r>
          <rPr>
            <b/>
            <sz val="8"/>
            <color indexed="81"/>
            <rFont val="Tahoma"/>
            <family val="2"/>
            <charset val="161"/>
          </rPr>
          <t>ΕΞΑΡΤΩΜΕΝΩΝ ΤΕΚΝΩΝ</t>
        </r>
      </text>
    </comment>
    <comment ref="A54" authorId="2">
      <text>
        <r>
          <rPr>
            <sz val="8"/>
            <color indexed="81"/>
            <rFont val="Tahoma"/>
            <family val="2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 xml:space="preserve"> 1  </t>
        </r>
        <r>
          <rPr>
            <sz val="8"/>
            <color indexed="81"/>
            <rFont val="Tahoma"/>
            <family val="2"/>
          </rPr>
          <t xml:space="preserve">ΓΙΑ  ΑΝΑΠΗΡΟ  ΜΕ ΑΝΑΠΗΡΙΑ&gt;= 80% 'H ΑΦΟΡΟΛΟΓΗΤΟ ΔΙΑΦΟΡΕΤΙΚΑ 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</rPr>
          <t xml:space="preserve"> Ή  ΚΕΝΟ         </t>
        </r>
      </text>
    </comment>
    <comment ref="K74" authorId="0">
      <text>
        <r>
          <rPr>
            <sz val="8"/>
            <color indexed="81"/>
            <rFont val="Tahoma"/>
            <family val="2"/>
            <charset val="161"/>
          </rPr>
          <t>ΓΡΑΨΤΕ ΤΙΣ ΗΜΕΡΕΣ ΕΡΓΑΣΙΑΣ</t>
        </r>
      </text>
    </comment>
    <comment ref="I89" authorId="2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ΤΟΥ ΔΑΝΕΙΟΥ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I90" authorId="2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ΤΟΥ ΔΑΝΕΙΟΥ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I92" authorId="2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 ΤΗΣ ΠΕΡΙΚΟΠΗΣ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A98" authorId="2">
      <text>
        <r>
          <rPr>
            <sz val="8"/>
            <color indexed="81"/>
            <rFont val="Tahoma"/>
            <family val="2"/>
          </rPr>
          <t xml:space="preserve">ΓΡΑΨΤΕ  ΤΙΣ ΗΜΕΡΕΣ  ΕΡΓΑΣΙΑΣ ΤΟΥ ΜΗΝΑ  (ΕΩΣ 30)  </t>
        </r>
      </text>
    </comment>
  </commentList>
</comments>
</file>

<file path=xl/comments2.xml><?xml version="1.0" encoding="utf-8"?>
<comments xmlns="http://schemas.openxmlformats.org/spreadsheetml/2006/main">
  <authors>
    <author>ΧΟΥΛΙΑΡΑΣ ΒΑΣΙΛΕΙΟΣ</author>
    <author>ΧΟΥΛΙΑΡΑΣ ΒΑΣΙΛΕΙΟΣ ΤΟΥ ΙΩΑΝΝΗ</author>
  </authors>
  <commentList>
    <comment ref="E7" authorId="0">
      <text>
        <r>
          <rPr>
            <sz val="8"/>
            <color indexed="81"/>
            <rFont val="Tahoma"/>
            <family val="2"/>
            <charset val="161"/>
          </rPr>
          <t xml:space="preserve">ΓΡΑΨΤΕ ΤΟ ΠΟΣΟ ΣΥΜΦΩΝΑ ΜΕ ΤΟΝ ΔΙΠΛΑΝΟ ΠΙΝΑΚΑ ΕΆΝ ΕΜΦΑΝΙΖΕΤΑΙ ΣΤΑ ΚΕΛΙΑ </t>
        </r>
        <r>
          <rPr>
            <b/>
            <sz val="8"/>
            <color indexed="81"/>
            <rFont val="Tahoma"/>
            <family val="2"/>
            <charset val="161"/>
          </rPr>
          <t xml:space="preserve"> E5</t>
        </r>
        <r>
          <rPr>
            <sz val="8"/>
            <color indexed="81"/>
            <rFont val="Tahoma"/>
            <family val="2"/>
            <charset val="161"/>
          </rPr>
          <t xml:space="preserve">, </t>
        </r>
        <r>
          <rPr>
            <b/>
            <sz val="8"/>
            <color indexed="81"/>
            <rFont val="Tahoma"/>
            <family val="2"/>
            <charset val="161"/>
          </rPr>
          <t>Ε6,</t>
        </r>
        <r>
          <rPr>
            <sz val="8"/>
            <color indexed="81"/>
            <rFont val="Tahoma"/>
            <family val="2"/>
            <charset val="161"/>
          </rPr>
          <t xml:space="preserve"> ΚΑΙ</t>
        </r>
        <r>
          <rPr>
            <b/>
            <sz val="8"/>
            <color indexed="81"/>
            <rFont val="Tahoma"/>
            <family val="2"/>
            <charset val="161"/>
          </rPr>
          <t xml:space="preserve"> Ε7</t>
        </r>
        <r>
          <rPr>
            <sz val="8"/>
            <color indexed="81"/>
            <rFont val="Tahoma"/>
            <family val="2"/>
            <charset val="161"/>
          </rPr>
          <t xml:space="preserve">  Η ΤΙΜΗ </t>
        </r>
        <r>
          <rPr>
            <b/>
            <sz val="8"/>
            <color indexed="81"/>
            <rFont val="Tahoma"/>
            <family val="2"/>
            <charset val="161"/>
          </rPr>
          <t xml:space="preserve">Ο  </t>
        </r>
        <r>
          <rPr>
            <b/>
            <u/>
            <sz val="8"/>
            <color indexed="81"/>
            <rFont val="Tahoma"/>
            <family val="2"/>
            <charset val="161"/>
          </rPr>
          <t xml:space="preserve">ΚΑΙ </t>
        </r>
        <r>
          <rPr>
            <sz val="8"/>
            <color indexed="81"/>
            <rFont val="Tahoma"/>
            <family val="2"/>
            <charset val="161"/>
          </rPr>
          <t xml:space="preserve"> ΣΤΟ ΚΕΛΙ</t>
        </r>
        <r>
          <rPr>
            <b/>
            <sz val="8"/>
            <color indexed="81"/>
            <rFont val="Tahoma"/>
            <family val="2"/>
            <charset val="161"/>
          </rPr>
          <t xml:space="preserve"> Β5 </t>
        </r>
        <r>
          <rPr>
            <sz val="8"/>
            <color indexed="81"/>
            <rFont val="Tahoma"/>
            <family val="2"/>
            <charset val="161"/>
          </rPr>
          <t>Η ΤΙΜΗ</t>
        </r>
        <r>
          <rPr>
            <b/>
            <sz val="8"/>
            <color indexed="81"/>
            <rFont val="Tahoma"/>
            <family val="2"/>
            <charset val="161"/>
          </rPr>
          <t xml:space="preserve"> 1 </t>
        </r>
      </text>
    </comment>
    <comment ref="E10" authorId="0">
      <text>
        <r>
          <rPr>
            <sz val="8"/>
            <color indexed="81"/>
            <rFont val="Tahoma"/>
            <family val="2"/>
            <charset val="161"/>
          </rPr>
          <t xml:space="preserve">ΓΡΑΨΤΕ ΤΟ ΠΟΣΟ ΣΥΜΦΩΝΑ ΜΕ ΤΟΝ ΔΙΠΛΑΝΟ ΠΙΝΑΚΑ ΕΆΝ ΕΜΦΑΝΙΖΕΤΑΙ ΣΤΑ ΚΕΛΙΑ  </t>
        </r>
        <r>
          <rPr>
            <b/>
            <sz val="8"/>
            <color indexed="81"/>
            <rFont val="Tahoma"/>
            <family val="2"/>
            <charset val="161"/>
          </rPr>
          <t>Ε8, Ε9</t>
        </r>
        <r>
          <rPr>
            <sz val="8"/>
            <color indexed="81"/>
            <rFont val="Tahoma"/>
            <family val="2"/>
            <charset val="161"/>
          </rPr>
          <t xml:space="preserve">  ΚΑΙ </t>
        </r>
        <r>
          <rPr>
            <b/>
            <sz val="8"/>
            <color indexed="81"/>
            <rFont val="Tahoma"/>
            <family val="2"/>
            <charset val="161"/>
          </rPr>
          <t>Ε10</t>
        </r>
        <r>
          <rPr>
            <sz val="8"/>
            <color indexed="81"/>
            <rFont val="Tahoma"/>
            <family val="2"/>
            <charset val="161"/>
          </rPr>
          <t xml:space="preserve">  Η ΤΙΜΗ </t>
        </r>
        <r>
          <rPr>
            <b/>
            <sz val="8"/>
            <color indexed="81"/>
            <rFont val="Tahoma"/>
            <family val="2"/>
            <charset val="161"/>
          </rPr>
          <t xml:space="preserve">Ο </t>
        </r>
        <r>
          <rPr>
            <sz val="8"/>
            <color indexed="81"/>
            <rFont val="Tahoma"/>
            <family val="2"/>
            <charset val="161"/>
          </rPr>
          <t xml:space="preserve"> </t>
        </r>
        <r>
          <rPr>
            <b/>
            <u/>
            <sz val="8"/>
            <color indexed="81"/>
            <rFont val="Tahoma"/>
            <family val="2"/>
            <charset val="161"/>
          </rPr>
          <t xml:space="preserve">ΚΑΙ </t>
        </r>
        <r>
          <rPr>
            <sz val="8"/>
            <color indexed="81"/>
            <rFont val="Tahoma"/>
            <family val="2"/>
            <charset val="161"/>
          </rPr>
          <t xml:space="preserve"> ΣΤΟ ΚΕΛΙ</t>
        </r>
        <r>
          <rPr>
            <b/>
            <sz val="8"/>
            <color indexed="81"/>
            <rFont val="Tahoma"/>
            <family val="2"/>
            <charset val="161"/>
          </rPr>
          <t xml:space="preserve"> Β8 </t>
        </r>
        <r>
          <rPr>
            <sz val="8"/>
            <color indexed="81"/>
            <rFont val="Tahoma"/>
            <family val="2"/>
            <charset val="161"/>
          </rPr>
          <t xml:space="preserve">Η ΤΙΜΗ </t>
        </r>
        <r>
          <rPr>
            <b/>
            <sz val="8"/>
            <color indexed="81"/>
            <rFont val="Tahoma"/>
            <family val="2"/>
            <charset val="161"/>
          </rPr>
          <t>1</t>
        </r>
      </text>
    </comment>
    <comment ref="E15" authorId="1">
      <text>
        <r>
          <rPr>
            <sz val="8"/>
            <color indexed="81"/>
            <rFont val="Tahoma"/>
            <family val="2"/>
            <charset val="161"/>
          </rPr>
          <t xml:space="preserve">ΓΡΑΨΤΕ ΤΟ ΠΟΣΟ ΤΗΣ ΥΠΕΡΒΑΛΛΟΥΣΑΣ ΜΕΙΩΣΗΣ 'Η ΑΥΞΗΣΗΣ ΤΟΥ ΜΙΣΘΟΥ - ΕΑΝ ΥΠΑΡΧΕΙ- ΑΠΟ ΤΗΝ ΚΑΤΑΤΑΞΗ ΠΟΥ ΕΓΙΝΕ ΣΤΙΣ </t>
        </r>
        <r>
          <rPr>
            <b/>
            <sz val="8"/>
            <color indexed="81"/>
            <rFont val="Tahoma"/>
            <family val="2"/>
            <charset val="161"/>
          </rPr>
          <t>01/11/2011</t>
        </r>
      </text>
    </comment>
  </commentList>
</comments>
</file>

<file path=xl/comments3.xml><?xml version="1.0" encoding="utf-8"?>
<comments xmlns="http://schemas.openxmlformats.org/spreadsheetml/2006/main">
  <authors>
    <author>ΧΟΥΛΙΑΡΑΣ ΒΑΣΙΛΕΙΟΣ ΤΟΥ ΙΩΑΝΝΗ</author>
    <author>.</author>
    <author>ΧΟΥΛΙΑΡΑΣ ΒΑΣΙΛΕΙΟΣ</author>
  </authors>
  <commentList>
    <comment ref="D5" authorId="0">
      <text>
        <r>
          <rPr>
            <sz val="8"/>
            <color indexed="81"/>
            <rFont val="Tahoma"/>
            <family val="2"/>
            <charset val="161"/>
          </rPr>
          <t>ΓΡΑΨΤΕ ΤΟ</t>
        </r>
        <r>
          <rPr>
            <b/>
            <sz val="8"/>
            <color indexed="81"/>
            <rFont val="Tahoma"/>
            <family val="2"/>
          </rPr>
          <t xml:space="preserve"> Μ. Κ.</t>
        </r>
      </text>
    </comment>
    <comment ref="D16" author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</rPr>
          <t>ΠΛΗΘΟΣ</t>
        </r>
        <r>
          <rPr>
            <b/>
            <sz val="8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ΤΩΝ ΠΑΙΔΙΩΝ:
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ΑΓΑΜΟ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  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ΕΓΓΑΜΟ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1  ΠΑΙΔΙ</t>
        </r>
        <r>
          <rPr>
            <sz val="8"/>
            <color indexed="81"/>
            <rFont val="Tahoma"/>
            <family val="2"/>
            <charset val="161"/>
          </rPr>
          <t xml:space="preserve">: </t>
        </r>
        <r>
          <rPr>
            <b/>
            <sz val="8"/>
            <color indexed="81"/>
            <rFont val="Tahoma"/>
            <family val="2"/>
            <charset val="161"/>
          </rPr>
          <t xml:space="preserve">1   </t>
        </r>
        <r>
          <rPr>
            <sz val="8"/>
            <color indexed="81"/>
            <rFont val="Tahoma"/>
            <family val="2"/>
            <charset val="161"/>
          </rPr>
          <t xml:space="preserve"> ΜΕ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</t>
        </r>
        <r>
          <rPr>
            <b/>
            <sz val="8"/>
            <color indexed="81"/>
            <rFont val="Tahoma"/>
            <family val="2"/>
            <charset val="161"/>
          </rPr>
          <t>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2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3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3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4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4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5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5   </t>
        </r>
        <r>
          <rPr>
            <sz val="8"/>
            <color indexed="81"/>
            <rFont val="Tahoma"/>
            <family val="2"/>
            <charset val="161"/>
          </rPr>
          <t xml:space="preserve">ΜΕ  </t>
        </r>
        <r>
          <rPr>
            <b/>
            <sz val="8"/>
            <color indexed="81"/>
            <rFont val="Tahoma"/>
            <family val="2"/>
            <charset val="161"/>
          </rPr>
          <t>6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6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7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7 </t>
        </r>
        <r>
          <rPr>
            <sz val="8"/>
            <color indexed="81"/>
            <rFont val="Tahoma"/>
            <family val="2"/>
            <charset val="161"/>
          </rPr>
          <t xml:space="preserve">  ΜΕ</t>
        </r>
        <r>
          <rPr>
            <b/>
            <sz val="8"/>
            <color indexed="81"/>
            <rFont val="Tahoma"/>
            <family val="2"/>
            <charset val="161"/>
          </rPr>
          <t xml:space="preserve">  8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8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9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9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10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>10</t>
        </r>
      </text>
    </comment>
    <comment ref="D18" author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ΜΑΘΗΤΕΣ≥120 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ΜΑΘΗΤΕΣ&lt;120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ΓΥΜΝΑΣΙΟΥ Ή ΕΠΑ.Σ. 'Η  Ε.Κ. 'Η   Σ.Δ.Ε Ή Ε.Σ.Κ. Ή Κ.Ε.Κ. Ή ΔΙΕΥΘΥΝΤΗ ΔΗΜΟΤΙΚΟΥ ΣΧΟΛΕΙΟΥ </t>
        </r>
        <r>
          <rPr>
            <sz val="8"/>
            <color indexed="81"/>
            <rFont val="Arial"/>
            <family val="2"/>
            <charset val="161"/>
          </rPr>
          <t xml:space="preserve">≥ </t>
        </r>
        <r>
          <rPr>
            <sz val="8"/>
            <color indexed="81"/>
            <rFont val="Tahoma"/>
            <family val="2"/>
            <charset val="161"/>
          </rPr>
          <t xml:space="preserve">4/ΘΕΣΙΟΥ ΚΑΙ ΜΕ ΜΑΘΗΤΕΣ ≥ 120
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sz val="8"/>
            <color indexed="81"/>
            <rFont val="Tahoma"/>
            <family val="2"/>
            <charset val="161"/>
          </rPr>
          <t xml:space="preserve">ΓΙΑ ΔΙΕΥΘΥΝΤΗ ΓΥΜΝΑΣΙΟΥ Ή ΕΠΑ.Σ. 'Η  Ε.Κ. Ή  Σ.Δ.Ε. Ή Ε.Σ.Κ. Ή Κ.Ε.Κ. Ή ΔΙΕΥΘΥΝΤΗ ΔΗΜΟΤΙΚΟΥ ΣΧΟΛΕΙΟΥ ≥ 4/ΘΕΣΙΟΥ ΚΑΙ ΜΕ ΜΑΘΗΤΕΣ &lt;120                         
ΓΡΑΨΤΕ </t>
        </r>
        <r>
          <rPr>
            <b/>
            <sz val="8"/>
            <color indexed="81"/>
            <rFont val="Tahoma"/>
            <family val="2"/>
            <charset val="161"/>
          </rPr>
          <t>5</t>
        </r>
        <r>
          <rPr>
            <sz val="8"/>
            <color indexed="81"/>
            <rFont val="Tahoma"/>
            <family val="2"/>
            <charset val="161"/>
          </rPr>
          <t xml:space="preserve"> ΓΙΑ ΥΠΟΔΙΕΥΘΥΝΤΗ ΣΧΟΛΙΚΗΣ ΜΟΝΑΔΑΣ Ή Ε.Κ. Ή  Σ.Δ.Ε. Ή  Ι.Ε.Κ. 'Η  Ε.Σ.Κ. Ή  ΥΠΕΥΘΥΝΟ ΤΟΜΕΑ  Ε.Κ. Ή ΓΙΑ ΠΡΟΪΣΤΑΜΕΝΟ Κ.Ε.ΠΕ.Α.                  
ΓΡΑΨΤΕ</t>
        </r>
        <r>
          <rPr>
            <b/>
            <sz val="8"/>
            <color indexed="81"/>
            <rFont val="Tahoma"/>
            <family val="2"/>
          </rPr>
          <t xml:space="preserve"> 6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ΔΗΜΟΤΙΚΟΥ ΣΧΟΛΕΙΟΥ 
</t>
        </r>
        <r>
          <rPr>
            <sz val="8"/>
            <color indexed="81"/>
            <rFont val="Arial"/>
            <family val="2"/>
            <charset val="161"/>
          </rPr>
          <t>≤</t>
        </r>
        <r>
          <rPr>
            <sz val="8"/>
            <color indexed="81"/>
            <rFont val="Tahoma"/>
            <family val="2"/>
            <charset val="161"/>
          </rPr>
          <t xml:space="preserve"> 3/ΘΕΣΙΟΥ Ή ΝΗΠΙΑΓΩΓΕΙΟΥ Ή ΠΑΙΔΙΚΟΥ ΣΤΑΘΜΟΥ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7</t>
        </r>
        <r>
          <rPr>
            <sz val="8"/>
            <color indexed="81"/>
            <rFont val="Tahoma"/>
            <family val="2"/>
            <charset val="161"/>
          </rPr>
          <t xml:space="preserve"> ΓΙΑ ΣΧΟΛΙΚΟ ΣΥΜΒΟΥΛΟ ΕΚΠΑΙΔΕΥΣΗΣ 
ΓΡΑΨΤΕ </t>
        </r>
        <r>
          <rPr>
            <b/>
            <sz val="8"/>
            <color indexed="81"/>
            <rFont val="Tahoma"/>
            <family val="2"/>
            <charset val="161"/>
          </rPr>
          <t>8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ΔΙΕΥΘΥΝΣΗΣ ΕΚΠΑΙΔΕΥΣΗΣ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9 </t>
        </r>
        <r>
          <rPr>
            <sz val="8"/>
            <color indexed="81"/>
            <rFont val="Tahoma"/>
            <family val="2"/>
            <charset val="161"/>
          </rPr>
          <t xml:space="preserve">ΓΙΑ ΠΡΟΪΣΤΑΜΕΝΟ ΚΕ.Δ.Α.Σ.Υ.   
ΓΡΑΨΤΕ </t>
        </r>
        <r>
          <rPr>
            <b/>
            <sz val="8"/>
            <color indexed="81"/>
            <rFont val="Tahoma"/>
            <family val="2"/>
            <charset val="161"/>
          </rPr>
          <t>10</t>
        </r>
        <r>
          <rPr>
            <sz val="8"/>
            <color indexed="81"/>
            <rFont val="Tahoma"/>
            <family val="2"/>
            <charset val="161"/>
          </rPr>
          <t xml:space="preserve"> ΓΙΑ ΕΠΟΠΤΗ ΠΟΙΟΤΗΤΑΣ ΤΗΣ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11</t>
        </r>
        <r>
          <rPr>
            <sz val="8"/>
            <color indexed="81"/>
            <rFont val="Tahoma"/>
            <family val="2"/>
            <charset val="161"/>
          </rPr>
          <t xml:space="preserve"> ΓΙΑ ΠΕΡΙΦΕΡΕΙΑΚΟ ΔΙΕΥΘΥΝΤΗ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12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ΔΙΟΙΚΗΣΗΣ
ΓΡΑΨΤΕ </t>
        </r>
        <r>
          <rPr>
            <b/>
            <sz val="8"/>
            <color indexed="81"/>
            <rFont val="Tahoma"/>
            <family val="2"/>
            <charset val="161"/>
          </rPr>
          <t>13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ΕΚΠΑΙΔΕΥΤΙΚΩΝ ΘΕΜΑΤΩΝ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
</t>
        </r>
      </text>
    </comment>
    <comment ref="D20" author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1</t>
        </r>
        <r>
          <rPr>
            <sz val="8"/>
            <color indexed="81"/>
            <rFont val="Tahoma"/>
            <family val="2"/>
            <charset val="161"/>
          </rPr>
          <t xml:space="preserve"> ΓΙΑ ΑΠΟΜΑΚΡΥΣΜΕΝΕΣ 
ΚΑΙ  ΠΑΡΑΜΕΘΟΡΙΕΣ  ΠΕΡΙΟΧΕΣ
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 ΚΕΝΟ      </t>
        </r>
      </text>
    </comment>
    <comment ref="D21" author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  <charset val="161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ΤΗΝ Α΄ΚΑΤΗΓΟΡΙΑ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ΤΗΝ Β΄ΚΑΤΗΓΟΡΙΑ ΓΡΑΨΤΕ </t>
        </r>
        <r>
          <rPr>
            <b/>
            <sz val="8"/>
            <color indexed="81"/>
            <rFont val="Tahoma"/>
            <family val="2"/>
            <charset val="161"/>
          </rPr>
          <t>3</t>
        </r>
        <r>
          <rPr>
            <sz val="8"/>
            <color indexed="81"/>
            <rFont val="Tahoma"/>
            <family val="2"/>
            <charset val="161"/>
          </rPr>
          <t xml:space="preserve"> ΓΙΑ ΤΗΝ Γ΄ΚΑΤΗΓΟΡΑ
ΔΙΑΦΟΡΕΤΙΚΑ 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0</t>
        </r>
        <r>
          <rPr>
            <sz val="8"/>
            <color indexed="81"/>
            <rFont val="Tahoma"/>
            <family val="2"/>
            <charset val="161"/>
          </rPr>
          <t xml:space="preserve"> Ή ΚΕΝΟ      </t>
        </r>
      </text>
    </comment>
    <comment ref="D22" authorId="1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 xml:space="preserve">ΜΗΝΙΑΙΟ ΠΟΣΟ </t>
        </r>
        <r>
          <rPr>
            <sz val="8"/>
            <color indexed="81"/>
            <rFont val="Tahoma"/>
            <family val="2"/>
            <charset val="161"/>
          </rPr>
          <t xml:space="preserve">ΤΗΣ ΕΙΣΦΟΡΑΣ ΔΙΑΦΟΡΕΤΙΚΑ ΓΡΑΨΤΕ </t>
        </r>
        <r>
          <rPr>
            <b/>
            <sz val="8"/>
            <color indexed="81"/>
            <rFont val="Tahoma"/>
            <family val="2"/>
          </rPr>
          <t xml:space="preserve"> 0  </t>
        </r>
        <r>
          <rPr>
            <sz val="8"/>
            <color indexed="81"/>
            <rFont val="Tahoma"/>
            <family val="2"/>
            <charset val="161"/>
          </rPr>
          <t>Ή ΚΕΝΟ</t>
        </r>
      </text>
    </comment>
    <comment ref="A23" author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</rPr>
          <t xml:space="preserve">  1 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Π. Ε.</t>
        </r>
        <r>
          <rPr>
            <sz val="8"/>
            <color indexed="81"/>
            <rFont val="Tahoma"/>
            <family val="2"/>
            <charset val="161"/>
          </rPr>
          <t xml:space="preserve">  
ΓΡΑΨΤΕ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ΓΙΑ  </t>
        </r>
        <r>
          <rPr>
            <b/>
            <sz val="8"/>
            <color indexed="81"/>
            <rFont val="Tahoma"/>
            <family val="2"/>
            <charset val="161"/>
          </rPr>
          <t>Τ. Ε.</t>
        </r>
        <r>
          <rPr>
            <sz val="8"/>
            <color indexed="81"/>
            <rFont val="Tahoma"/>
            <family val="2"/>
            <charset val="161"/>
          </rPr>
          <t xml:space="preserve">   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 ΓΙΑ  </t>
        </r>
        <r>
          <rPr>
            <b/>
            <sz val="8"/>
            <color indexed="81"/>
            <rFont val="Tahoma"/>
            <family val="2"/>
            <charset val="161"/>
          </rPr>
          <t>Δ. Ε.</t>
        </r>
        <r>
          <rPr>
            <sz val="8"/>
            <color indexed="81"/>
            <rFont val="Tahoma"/>
            <family val="2"/>
            <charset val="161"/>
          </rPr>
          <t xml:space="preserve"> ΓΡΑΨΤΕ 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Υ. Ε</t>
        </r>
        <r>
          <rPr>
            <sz val="8"/>
            <color indexed="81"/>
            <rFont val="Tahoma"/>
            <family val="2"/>
            <charset val="161"/>
          </rPr>
          <t xml:space="preserve">.        </t>
        </r>
      </text>
    </comment>
    <comment ref="D23" authorId="1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ΤΩΝ ΑΧΡΕΩΣΤΗΤΩΝ ΚΑΤΑΒΛΗΘΕΝΤΩΝ 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</t>
        </r>
      </text>
    </comment>
    <comment ref="D24" authorId="2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ΤΟ ΠΛΗΘΟΣ </t>
        </r>
        <r>
          <rPr>
            <sz val="8"/>
            <color indexed="81"/>
            <rFont val="Tahoma"/>
            <family val="2"/>
            <charset val="161"/>
          </rPr>
          <t xml:space="preserve">ΤΩΝ ΦΟΡΟΛΟΓΙΚΑ </t>
        </r>
        <r>
          <rPr>
            <b/>
            <sz val="8"/>
            <color indexed="81"/>
            <rFont val="Tahoma"/>
            <family val="2"/>
            <charset val="161"/>
          </rPr>
          <t>ΕΞΑΡΤΩΜΕΝΩΝ ΤΕΚΝΩΝ</t>
        </r>
      </text>
    </comment>
    <comment ref="A38" authorId="2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 23  </t>
        </r>
        <r>
          <rPr>
            <sz val="8"/>
            <color indexed="81"/>
            <rFont val="Tahoma"/>
            <family val="2"/>
            <charset val="161"/>
          </rPr>
          <t>ΓΙΑ  ΠΛΗΡΗ  ΑΠΑΣΧΟΛΗΣΗ</t>
        </r>
        <r>
          <rPr>
            <b/>
            <sz val="8"/>
            <color indexed="81"/>
            <rFont val="Tahoma"/>
            <family val="2"/>
            <charset val="161"/>
          </rPr>
          <t xml:space="preserve"> Π.Ε. </t>
        </r>
        <r>
          <rPr>
            <sz val="8"/>
            <color indexed="81"/>
            <rFont val="Tahoma"/>
            <family val="2"/>
            <charset val="161"/>
          </rPr>
          <t xml:space="preserve">ΓΡΑΨΤΕ  </t>
        </r>
        <r>
          <rPr>
            <b/>
            <sz val="8"/>
            <color indexed="81"/>
            <rFont val="Tahoma"/>
            <family val="2"/>
            <charset val="161"/>
          </rPr>
          <t>24</t>
        </r>
        <r>
          <rPr>
            <sz val="8"/>
            <color indexed="81"/>
            <rFont val="Tahoma"/>
            <family val="2"/>
            <charset val="161"/>
          </rPr>
          <t xml:space="preserve">  ΓΙΑ  ΠΛΗΡΗ  ΑΠΑΣΧΟΛΗΣΗ</t>
        </r>
        <r>
          <rPr>
            <b/>
            <sz val="8"/>
            <color indexed="81"/>
            <rFont val="Tahoma"/>
            <family val="2"/>
            <charset val="161"/>
          </rPr>
          <t xml:space="preserve"> Τ.Ε. </t>
        </r>
        <r>
          <rPr>
            <sz val="8"/>
            <color indexed="81"/>
            <rFont val="Tahoma"/>
            <family val="2"/>
            <charset val="161"/>
          </rPr>
          <t xml:space="preserve">ΓΡΑΨΤΕ  </t>
        </r>
        <r>
          <rPr>
            <b/>
            <sz val="8"/>
            <color indexed="81"/>
            <rFont val="Tahoma"/>
            <family val="2"/>
            <charset val="161"/>
          </rPr>
          <t>30</t>
        </r>
        <r>
          <rPr>
            <sz val="8"/>
            <color indexed="81"/>
            <rFont val="Tahoma"/>
            <family val="2"/>
            <charset val="161"/>
          </rPr>
          <t xml:space="preserve">  ΓΙΑ  ΠΛΗΡΗ  ΑΠΑΣΧΟΛΗΣΗ </t>
        </r>
        <r>
          <rPr>
            <b/>
            <sz val="8"/>
            <color indexed="81"/>
            <rFont val="Tahoma"/>
            <family val="2"/>
            <charset val="161"/>
          </rPr>
          <t xml:space="preserve">Δ.Ε. </t>
        </r>
        <r>
          <rPr>
            <sz val="8"/>
            <color indexed="81"/>
            <rFont val="Tahoma"/>
            <family val="2"/>
            <charset val="161"/>
          </rPr>
          <t xml:space="preserve"> Ή ΓΡΑΨΤΕ ΤΙΣ </t>
        </r>
        <r>
          <rPr>
            <b/>
            <sz val="8"/>
            <color indexed="81"/>
            <rFont val="Tahoma"/>
            <family val="2"/>
            <charset val="161"/>
          </rPr>
          <t>ΩΡΕΣ</t>
        </r>
        <r>
          <rPr>
            <sz val="8"/>
            <color indexed="81"/>
            <rFont val="Tahoma"/>
            <family val="2"/>
            <charset val="161"/>
          </rPr>
          <t xml:space="preserve"> ΜΕΡΙΚΗΣ ΑΠΑΣΧΟΛΗΣΗΣ</t>
        </r>
      </text>
    </comment>
    <comment ref="A54" authorId="1">
      <text>
        <r>
          <rPr>
            <sz val="8"/>
            <color indexed="81"/>
            <rFont val="Tahoma"/>
            <family val="2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 xml:space="preserve"> 1  </t>
        </r>
        <r>
          <rPr>
            <sz val="8"/>
            <color indexed="81"/>
            <rFont val="Tahoma"/>
            <family val="2"/>
          </rPr>
          <t xml:space="preserve">ΓΙΑ  ΑΝΑΠΗΡΟ  ΜΕ ΑΝΑΠΗΡΙΑ&gt;= 80% 'H ΑΦΟΡΟΛΟΓΗΤΟ ΔΙΑΦΟΡΕΤΙΚΑ 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</rPr>
          <t xml:space="preserve"> Ή  ΚΕΝΟ         </t>
        </r>
      </text>
    </comment>
    <comment ref="K74" authorId="0">
      <text>
        <r>
          <rPr>
            <sz val="8"/>
            <color indexed="81"/>
            <rFont val="Tahoma"/>
            <family val="2"/>
            <charset val="161"/>
          </rPr>
          <t>ΓΡΑΨΤΕ ΤΙΣ ΗΜΕΡΕΣ ΕΡΓΑΣΙΑΣ</t>
        </r>
      </text>
    </comment>
    <comment ref="I75" authorId="1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 ΤΗΣ ΠΕΡΙΚΟΠΗΣ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A84" authorId="1">
      <text>
        <r>
          <rPr>
            <sz val="8"/>
            <color indexed="81"/>
            <rFont val="Tahoma"/>
            <family val="2"/>
          </rPr>
          <t xml:space="preserve">ΓΡΑΨΤΕ  ΤΙΣ ΗΜΕΡΕΣ  ΕΡΓΑΣΙΑΣ ΤΟΥ ΜΗΝΑ  (ΕΩΣ 30)  </t>
        </r>
      </text>
    </comment>
    <comment ref="J84" authorId="1">
      <text>
        <r>
          <rPr>
            <sz val="8"/>
            <color indexed="81"/>
            <rFont val="Tahoma"/>
            <family val="2"/>
          </rPr>
          <t xml:space="preserve">ΓΡΑΨΤΕ ΤΙΣ ΗΜΕΡΕΣ ΕΡΓΑΣΙΑΣ ΓΙΑ ΤΗΝ ΑΠΟΖΗΜΙΩΣΗ ΤΗΣ ΜΗ ΛΗΨΗΣ  ΚΑΝΟΝΙΚΗΣ  ΑΔΕΙΑΣ  </t>
        </r>
      </text>
    </comment>
  </commentList>
</comments>
</file>

<file path=xl/comments4.xml><?xml version="1.0" encoding="utf-8"?>
<comments xmlns="http://schemas.openxmlformats.org/spreadsheetml/2006/main">
  <authors>
    <author>ΧΟΥΛΙΑΡΑΣ ΒΑΣΙΛΕΙΟΣ</author>
    <author>ΧΟΥΛΙΑΡΑΣ ΒΑΣΙΛΕΙΟΣ ΤΟΥ ΙΩΑΝΝΗ</author>
    <author>.</author>
  </authors>
  <commentList>
    <comment ref="A4" authorId="0">
      <text>
        <r>
          <rPr>
            <sz val="8"/>
            <color indexed="81"/>
            <rFont val="Tahoma"/>
            <family val="2"/>
            <charset val="161"/>
          </rPr>
          <t xml:space="preserve">ΓΡΑΨΤΕ  ΤΙΣ </t>
        </r>
        <r>
          <rPr>
            <b/>
            <sz val="8"/>
            <color indexed="81"/>
            <rFont val="Tahoma"/>
            <family val="2"/>
            <charset val="161"/>
          </rPr>
          <t xml:space="preserve"> ΩΡΕΣ  </t>
        </r>
        <r>
          <rPr>
            <sz val="8"/>
            <color indexed="81"/>
            <rFont val="Tahoma"/>
            <family val="2"/>
            <charset val="161"/>
          </rPr>
          <t>ΤΗΣ ΕΒΔΟΜΑΔΙΑΙΑΣ ΑΠΑΣΧΟΛΗΣΗΣ</t>
        </r>
      </text>
    </comment>
    <comment ref="D5" authorId="1">
      <text>
        <r>
          <rPr>
            <sz val="8"/>
            <color indexed="81"/>
            <rFont val="Tahoma"/>
            <family val="2"/>
            <charset val="161"/>
          </rPr>
          <t>ΓΡΑΨΤΕ ΤΟ</t>
        </r>
        <r>
          <rPr>
            <b/>
            <sz val="8"/>
            <color indexed="81"/>
            <rFont val="Tahoma"/>
            <family val="2"/>
          </rPr>
          <t xml:space="preserve"> Μ. Κ.</t>
        </r>
      </text>
    </comment>
    <comment ref="D16" authorId="1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</rPr>
          <t>ΠΛΗΘΟΣ</t>
        </r>
        <r>
          <rPr>
            <b/>
            <sz val="8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ΤΩΝ ΠΑΙΔΙΩΝ:
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ΑΓΑΜΟ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  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ΕΓΓΑΜΟ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1  ΠΑΙΔΙ</t>
        </r>
        <r>
          <rPr>
            <sz val="8"/>
            <color indexed="81"/>
            <rFont val="Tahoma"/>
            <family val="2"/>
            <charset val="161"/>
          </rPr>
          <t xml:space="preserve">: </t>
        </r>
        <r>
          <rPr>
            <b/>
            <sz val="8"/>
            <color indexed="81"/>
            <rFont val="Tahoma"/>
            <family val="2"/>
            <charset val="161"/>
          </rPr>
          <t xml:space="preserve">1   </t>
        </r>
        <r>
          <rPr>
            <sz val="8"/>
            <color indexed="81"/>
            <rFont val="Tahoma"/>
            <family val="2"/>
            <charset val="161"/>
          </rPr>
          <t xml:space="preserve"> ΜΕ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</t>
        </r>
        <r>
          <rPr>
            <b/>
            <sz val="8"/>
            <color indexed="81"/>
            <rFont val="Tahoma"/>
            <family val="2"/>
            <charset val="161"/>
          </rPr>
          <t>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2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3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3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4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4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5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5   </t>
        </r>
        <r>
          <rPr>
            <sz val="8"/>
            <color indexed="81"/>
            <rFont val="Tahoma"/>
            <family val="2"/>
            <charset val="161"/>
          </rPr>
          <t xml:space="preserve">ΜΕ  </t>
        </r>
        <r>
          <rPr>
            <b/>
            <sz val="8"/>
            <color indexed="81"/>
            <rFont val="Tahoma"/>
            <family val="2"/>
            <charset val="161"/>
          </rPr>
          <t>6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6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7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7 </t>
        </r>
        <r>
          <rPr>
            <sz val="8"/>
            <color indexed="81"/>
            <rFont val="Tahoma"/>
            <family val="2"/>
            <charset val="161"/>
          </rPr>
          <t xml:space="preserve">  ΜΕ</t>
        </r>
        <r>
          <rPr>
            <b/>
            <sz val="8"/>
            <color indexed="81"/>
            <rFont val="Tahoma"/>
            <family val="2"/>
            <charset val="161"/>
          </rPr>
          <t xml:space="preserve">  8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8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9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9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10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>10</t>
        </r>
      </text>
    </comment>
    <comment ref="D18" authorId="1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ΜΑΘΗΤΕΣ≥120 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ΜΑΘΗΤΕΣ&lt;120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ΓΥΜΝΑΣΙΟΥ Ή ΕΠΑ.Σ. 'Η  Ε.Κ. 'Η   Σ.Δ.Ε Ή Ε.Σ.Κ. Ή Κ.Ε.Κ. Ή ΔΙΕΥΘΥΝΤΗ ΔΗΜΟΤΙΚΟΥ ΣΧΟΛΕΙΟΥ </t>
        </r>
        <r>
          <rPr>
            <sz val="8"/>
            <color indexed="81"/>
            <rFont val="Arial"/>
            <family val="2"/>
            <charset val="161"/>
          </rPr>
          <t xml:space="preserve">≥ </t>
        </r>
        <r>
          <rPr>
            <sz val="8"/>
            <color indexed="81"/>
            <rFont val="Tahoma"/>
            <family val="2"/>
            <charset val="161"/>
          </rPr>
          <t xml:space="preserve">4/ΘΕΣΙΟΥ ΚΑΙ ΜΕ ΜΑΘΗΤΕΣ ≥ 120
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sz val="8"/>
            <color indexed="81"/>
            <rFont val="Tahoma"/>
            <family val="2"/>
            <charset val="161"/>
          </rPr>
          <t xml:space="preserve">ΓΙΑ ΔΙΕΥΘΥΝΤΗ ΓΥΜΝΑΣΙΟΥ Ή ΕΠΑ.Σ. 'Η  Ε.Κ. Ή  Σ.Δ.Ε. Ή Ε.Σ.Κ. Ή Κ.Ε.Κ. Ή ΔΙΕΥΘΥΝΤΗ ΔΗΜΟΤΙΚΟΥ ΣΧΟΛΕΙΟΥ ≥ 4/ΘΕΣΙΟΥ ΚΑΙ ΜΕ ΜΑΘΗΤΕΣ &lt;120                         
ΓΡΑΨΤΕ </t>
        </r>
        <r>
          <rPr>
            <b/>
            <sz val="8"/>
            <color indexed="81"/>
            <rFont val="Tahoma"/>
            <family val="2"/>
            <charset val="161"/>
          </rPr>
          <t>5</t>
        </r>
        <r>
          <rPr>
            <sz val="8"/>
            <color indexed="81"/>
            <rFont val="Tahoma"/>
            <family val="2"/>
            <charset val="161"/>
          </rPr>
          <t xml:space="preserve"> ΓΙΑ ΥΠΟΔΙΕΥΘΥΝΤΗ ΣΧΟΛΙΚΗΣ ΜΟΝΑΔΑΣ Ή Ε.Κ. Ή  Σ.Δ.Ε. Ή  Ι.Ε.Κ. 'Η  Ε.Σ.Κ. Ή  ΥΠΕΥΘΥΝΟ ΤΟΜΕΑ  Ε.Κ. Ή ΓΙΑ ΠΡΟΪΣΤΑΜΕΝΟ Κ.Ε.ΠΕ.Α.                  
ΓΡΑΨΤΕ</t>
        </r>
        <r>
          <rPr>
            <b/>
            <sz val="8"/>
            <color indexed="81"/>
            <rFont val="Tahoma"/>
            <family val="2"/>
          </rPr>
          <t xml:space="preserve"> 6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ΔΗΜΟΤΙΚΟΥ ΣΧΟΛΕΙΟΥ 
</t>
        </r>
        <r>
          <rPr>
            <sz val="8"/>
            <color indexed="81"/>
            <rFont val="Arial"/>
            <family val="2"/>
            <charset val="161"/>
          </rPr>
          <t>≤</t>
        </r>
        <r>
          <rPr>
            <sz val="8"/>
            <color indexed="81"/>
            <rFont val="Tahoma"/>
            <family val="2"/>
            <charset val="161"/>
          </rPr>
          <t xml:space="preserve"> 3/ΘΕΣΙΟΥ Ή ΝΗΠΙΑΓΩΓΕΙΟΥ Ή ΠΑΙΔΙΚΟΥ ΣΤΑΘΜΟΥ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7</t>
        </r>
        <r>
          <rPr>
            <sz val="8"/>
            <color indexed="81"/>
            <rFont val="Tahoma"/>
            <family val="2"/>
            <charset val="161"/>
          </rPr>
          <t xml:space="preserve"> ΓΙΑ ΣΧΟΛΙΚΟ ΣΥΜΒΟΥΛΟ ΕΚΠΑΙΔΕΥΣΗΣ 
ΓΡΑΨΤΕ </t>
        </r>
        <r>
          <rPr>
            <b/>
            <sz val="8"/>
            <color indexed="81"/>
            <rFont val="Tahoma"/>
            <family val="2"/>
            <charset val="161"/>
          </rPr>
          <t>8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ΔΙΕΥΘΥΝΣΗΣ ΕΚΠΑΙΔΕΥΣΗΣ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9 </t>
        </r>
        <r>
          <rPr>
            <sz val="8"/>
            <color indexed="81"/>
            <rFont val="Tahoma"/>
            <family val="2"/>
            <charset val="161"/>
          </rPr>
          <t xml:space="preserve">ΓΙΑ ΠΡΟΪΣΤΑΜΕΝΟ ΚΕ.Δ.Α.Σ.Υ.   
ΓΡΑΨΤΕ </t>
        </r>
        <r>
          <rPr>
            <b/>
            <sz val="8"/>
            <color indexed="81"/>
            <rFont val="Tahoma"/>
            <family val="2"/>
            <charset val="161"/>
          </rPr>
          <t>10</t>
        </r>
        <r>
          <rPr>
            <sz val="8"/>
            <color indexed="81"/>
            <rFont val="Tahoma"/>
            <family val="2"/>
            <charset val="161"/>
          </rPr>
          <t xml:space="preserve"> ΓΙΑ ΕΠΟΠΤΗ ΠΟΙΟΤΗΤΑΣ ΤΗΣ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11</t>
        </r>
        <r>
          <rPr>
            <sz val="8"/>
            <color indexed="81"/>
            <rFont val="Tahoma"/>
            <family val="2"/>
            <charset val="161"/>
          </rPr>
          <t xml:space="preserve"> ΓΙΑ ΠΕΡΙΦΕΡΕΙΑΚΟ ΔΙΕΥΘΥΝΤΗ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12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ΔΙΟΙΚΗΣΗΣ
ΓΡΑΨΤΕ </t>
        </r>
        <r>
          <rPr>
            <b/>
            <sz val="8"/>
            <color indexed="81"/>
            <rFont val="Tahoma"/>
            <family val="2"/>
            <charset val="161"/>
          </rPr>
          <t>13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ΕΚΠΑΙΔΕΥΤΙΚΩΝ ΘΕΜΑΤΩΝ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
</t>
        </r>
      </text>
    </comment>
    <comment ref="D20" authorId="1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1</t>
        </r>
        <r>
          <rPr>
            <sz val="8"/>
            <color indexed="81"/>
            <rFont val="Tahoma"/>
            <family val="2"/>
            <charset val="161"/>
          </rPr>
          <t xml:space="preserve"> ΓΙΑ ΑΠΟΜΑΚΡΥΣΜΕΝΕΣ 
ΚΑΙ  ΠΑΡΑΜΕΘΟΡΙΕΣ  ΠΕΡΙΟΧΕΣ
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 ΚΕΝΟ      </t>
        </r>
      </text>
    </comment>
    <comment ref="D21" authorId="1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  <charset val="161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ΤΗΝ Α΄ΚΑΤΗΓΟΡΙΑ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ΤΗΝ Β΄ΚΑΤΗΓΟΡΙΑ ΓΡΑΨΤΕ </t>
        </r>
        <r>
          <rPr>
            <b/>
            <sz val="8"/>
            <color indexed="81"/>
            <rFont val="Tahoma"/>
            <family val="2"/>
            <charset val="161"/>
          </rPr>
          <t>3</t>
        </r>
        <r>
          <rPr>
            <sz val="8"/>
            <color indexed="81"/>
            <rFont val="Tahoma"/>
            <family val="2"/>
            <charset val="161"/>
          </rPr>
          <t xml:space="preserve"> ΓΙΑ ΤΗΝ Γ΄ΚΑΤΗΓΟΡΑ
ΔΙΑΦΟΡΕΤΙΚΑ 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0</t>
        </r>
        <r>
          <rPr>
            <sz val="8"/>
            <color indexed="81"/>
            <rFont val="Tahoma"/>
            <family val="2"/>
            <charset val="161"/>
          </rPr>
          <t xml:space="preserve"> Ή ΚΕΝΟ      </t>
        </r>
      </text>
    </comment>
    <comment ref="D22" authorId="2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 xml:space="preserve">ΜΗΝΙΑΙΟ ΠΟΣΟ </t>
        </r>
        <r>
          <rPr>
            <sz val="8"/>
            <color indexed="81"/>
            <rFont val="Tahoma"/>
            <family val="2"/>
            <charset val="161"/>
          </rPr>
          <t xml:space="preserve">ΤΗΣ ΕΙΣΦΟΡΑΣ ΔΙΑΦΟΡΕΤΙΚΑ ΓΡΑΨΤΕ </t>
        </r>
        <r>
          <rPr>
            <b/>
            <sz val="8"/>
            <color indexed="81"/>
            <rFont val="Tahoma"/>
            <family val="2"/>
          </rPr>
          <t xml:space="preserve"> 0  </t>
        </r>
        <r>
          <rPr>
            <sz val="8"/>
            <color indexed="81"/>
            <rFont val="Tahoma"/>
            <family val="2"/>
            <charset val="161"/>
          </rPr>
          <t>Ή ΚΕΝΟ</t>
        </r>
      </text>
    </comment>
    <comment ref="A23" authorId="1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</rPr>
          <t xml:space="preserve">  1 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Π. Ε.</t>
        </r>
        <r>
          <rPr>
            <sz val="8"/>
            <color indexed="81"/>
            <rFont val="Tahoma"/>
            <family val="2"/>
            <charset val="161"/>
          </rPr>
          <t xml:space="preserve">  
ΓΡΑΨΤΕ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ΓΙΑ  </t>
        </r>
        <r>
          <rPr>
            <b/>
            <sz val="8"/>
            <color indexed="81"/>
            <rFont val="Tahoma"/>
            <family val="2"/>
            <charset val="161"/>
          </rPr>
          <t>Τ. Ε.</t>
        </r>
        <r>
          <rPr>
            <sz val="8"/>
            <color indexed="81"/>
            <rFont val="Tahoma"/>
            <family val="2"/>
            <charset val="161"/>
          </rPr>
          <t xml:space="preserve">   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 ΓΙΑ  </t>
        </r>
        <r>
          <rPr>
            <b/>
            <sz val="8"/>
            <color indexed="81"/>
            <rFont val="Tahoma"/>
            <family val="2"/>
            <charset val="161"/>
          </rPr>
          <t>Δ. Ε.</t>
        </r>
        <r>
          <rPr>
            <sz val="8"/>
            <color indexed="81"/>
            <rFont val="Tahoma"/>
            <family val="2"/>
            <charset val="161"/>
          </rPr>
          <t xml:space="preserve"> ΓΡΑΨΤΕ 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Υ. Ε</t>
        </r>
        <r>
          <rPr>
            <sz val="8"/>
            <color indexed="81"/>
            <rFont val="Tahoma"/>
            <family val="2"/>
            <charset val="161"/>
          </rPr>
          <t xml:space="preserve">.        </t>
        </r>
      </text>
    </comment>
    <comment ref="D23" authorId="2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ΤΩΝ ΑΧΡΕΩΣΤΗΤΩΝ ΚΑΤΑΒΛΗΘΕΝΤΩΝ 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</t>
        </r>
      </text>
    </comment>
    <comment ref="D24" author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ΤΟ ΠΛΗΘΟΣ </t>
        </r>
        <r>
          <rPr>
            <sz val="8"/>
            <color indexed="81"/>
            <rFont val="Tahoma"/>
            <family val="2"/>
            <charset val="161"/>
          </rPr>
          <t xml:space="preserve">ΤΩΝ ΦΟΡΟΛΟΓΙΚΑ </t>
        </r>
        <r>
          <rPr>
            <b/>
            <sz val="8"/>
            <color indexed="81"/>
            <rFont val="Tahoma"/>
            <family val="2"/>
            <charset val="161"/>
          </rPr>
          <t>ΕΞΑΡΤΩΜΕΝΩΝ ΤΕΚΝΩΝ</t>
        </r>
      </text>
    </comment>
    <comment ref="A38" author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 23 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 xml:space="preserve">Π.Ε. </t>
        </r>
        <r>
          <rPr>
            <sz val="8"/>
            <color indexed="81"/>
            <rFont val="Tahoma"/>
            <family val="2"/>
            <charset val="161"/>
          </rPr>
          <t xml:space="preserve">ΓΡΑΨΤΕ  </t>
        </r>
        <r>
          <rPr>
            <b/>
            <sz val="8"/>
            <color indexed="81"/>
            <rFont val="Tahoma"/>
            <family val="2"/>
            <charset val="161"/>
          </rPr>
          <t>24</t>
        </r>
        <r>
          <rPr>
            <sz val="8"/>
            <color indexed="81"/>
            <rFont val="Tahoma"/>
            <family val="2"/>
            <charset val="161"/>
          </rPr>
          <t xml:space="preserve">  ΓΙΑ </t>
        </r>
        <r>
          <rPr>
            <b/>
            <sz val="8"/>
            <color indexed="81"/>
            <rFont val="Tahoma"/>
            <family val="2"/>
            <charset val="161"/>
          </rPr>
          <t xml:space="preserve"> Τ.Ε.</t>
        </r>
        <r>
          <rPr>
            <sz val="8"/>
            <color indexed="81"/>
            <rFont val="Tahoma"/>
            <family val="2"/>
            <charset val="161"/>
          </rPr>
          <t xml:space="preserve"> ΓΡΑΨΤΕ  </t>
        </r>
        <r>
          <rPr>
            <b/>
            <sz val="8"/>
            <color indexed="81"/>
            <rFont val="Tahoma"/>
            <family val="2"/>
            <charset val="161"/>
          </rPr>
          <t>30</t>
        </r>
        <r>
          <rPr>
            <sz val="8"/>
            <color indexed="81"/>
            <rFont val="Tahoma"/>
            <family val="2"/>
            <charset val="161"/>
          </rPr>
          <t xml:space="preserve">  ΓΙΑ  </t>
        </r>
        <r>
          <rPr>
            <b/>
            <sz val="8"/>
            <color indexed="81"/>
            <rFont val="Tahoma"/>
            <family val="2"/>
            <charset val="161"/>
          </rPr>
          <t>Δ.Ε.</t>
        </r>
        <r>
          <rPr>
            <sz val="8"/>
            <color indexed="81"/>
            <rFont val="Tahoma"/>
            <family val="2"/>
            <charset val="161"/>
          </rPr>
          <t xml:space="preserve">
ΓΡΑΨΤΕ  </t>
        </r>
        <r>
          <rPr>
            <b/>
            <sz val="8"/>
            <color indexed="81"/>
            <rFont val="Tahoma"/>
            <family val="2"/>
            <charset val="161"/>
          </rPr>
          <t xml:space="preserve">27 </t>
        </r>
        <r>
          <rPr>
            <sz val="8"/>
            <color indexed="81"/>
            <rFont val="Tahoma"/>
            <family val="2"/>
            <charset val="161"/>
          </rPr>
          <t xml:space="preserve"> ΓΙΑ </t>
        </r>
        <r>
          <rPr>
            <b/>
            <sz val="8"/>
            <color indexed="81"/>
            <rFont val="Tahoma"/>
            <family val="2"/>
            <charset val="161"/>
          </rPr>
          <t xml:space="preserve">Ε.Ε.Π. </t>
        </r>
        <r>
          <rPr>
            <sz val="8"/>
            <color indexed="81"/>
            <rFont val="Tahoma"/>
            <family val="2"/>
            <charset val="161"/>
          </rPr>
          <t xml:space="preserve">   </t>
        </r>
      </text>
    </comment>
    <comment ref="A54" authorId="2">
      <text>
        <r>
          <rPr>
            <sz val="8"/>
            <color indexed="81"/>
            <rFont val="Tahoma"/>
            <family val="2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 xml:space="preserve"> 1  </t>
        </r>
        <r>
          <rPr>
            <sz val="8"/>
            <color indexed="81"/>
            <rFont val="Tahoma"/>
            <family val="2"/>
          </rPr>
          <t xml:space="preserve">ΓΙΑ  ΑΝΑΠΗΡΟ  ΜΕ ΑΝΑΠΗΡΙΑ&gt;= 80% 'H ΑΦΟΡΟΛΟΓΗΤΟ ΔΙΑΦΟΡΕΤΙΚΑ 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</rPr>
          <t xml:space="preserve"> Ή  ΚΕΝΟ         </t>
        </r>
      </text>
    </comment>
    <comment ref="I75" authorId="2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 ΤΗΣ ΠΕΡΙΚΟΠΗΣ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A84" authorId="2">
      <text>
        <r>
          <rPr>
            <sz val="8"/>
            <color indexed="81"/>
            <rFont val="Tahoma"/>
            <family val="2"/>
          </rPr>
          <t>ΓΡΑΨΤΕ  ΤΙΣ  ΕΒΔΟΜΑΔΕΣ  ΕΡΓΑΣΙΑΣ ΤΟΥ ΜΗΝΑ (ΕΩΣ 4)</t>
        </r>
      </text>
    </comment>
    <comment ref="J84" authorId="2">
      <text>
        <r>
          <rPr>
            <sz val="8"/>
            <color indexed="81"/>
            <rFont val="Tahoma"/>
            <family val="2"/>
          </rPr>
          <t xml:space="preserve">ΓΡΑΨΤΕ ΤΙΣ ΗΜΕΡΕΣ ΕΡΓΑΣΙΑΣ ΓΙΑ ΤΗΝ ΑΠΟΖΗΜΙΩΣΗ ΤΗΣ ΜΗ ΛΗΨΗΣ  ΚΑΝΟΝΙΚΗΣ  ΑΔΕΙΑΣ  </t>
        </r>
      </text>
    </comment>
  </commentList>
</comments>
</file>

<file path=xl/comments5.xml><?xml version="1.0" encoding="utf-8"?>
<comments xmlns="http://schemas.openxmlformats.org/spreadsheetml/2006/main">
  <authors>
    <author>ΧΟΥΛΙΑΡΑΣ ΒΑΣΙΛΕΙΟΣ ΤΟΥ ΙΩΑΝΝΗ</author>
    <author>ΧΟΥΛΙΑΡΑΣ ΒΑΣΙΛΕΙΟΣ</author>
    <author>.</author>
  </authors>
  <commentList>
    <comment ref="A4" authorId="0">
      <text>
        <r>
          <rPr>
            <sz val="8"/>
            <color indexed="81"/>
            <rFont val="Tahoma"/>
            <family val="2"/>
            <charset val="161"/>
          </rPr>
          <t xml:space="preserve">ΓΡΑΨΤΕ  </t>
        </r>
        <r>
          <rPr>
            <b/>
            <sz val="8"/>
            <color indexed="81"/>
            <rFont val="Tahoma"/>
            <family val="2"/>
          </rPr>
          <t xml:space="preserve">1  </t>
        </r>
        <r>
          <rPr>
            <sz val="8"/>
            <color indexed="81"/>
            <rFont val="Tahoma"/>
            <family val="2"/>
            <charset val="161"/>
          </rPr>
          <t xml:space="preserve">ΑΝ  ΕΧΕΤΕ  </t>
        </r>
        <r>
          <rPr>
            <b/>
            <sz val="8"/>
            <color indexed="81"/>
            <rFont val="Tahoma"/>
            <family val="2"/>
          </rPr>
          <t>ΠΡΩΤΟΑΣΦΑΛΙΣΤΕΙ</t>
        </r>
        <r>
          <rPr>
            <sz val="8"/>
            <color indexed="81"/>
            <rFont val="Tahoma"/>
            <family val="2"/>
            <charset val="161"/>
          </rPr>
          <t xml:space="preserve">  ΜΕΤΑ ΤΗΝ </t>
        </r>
        <r>
          <rPr>
            <b/>
            <sz val="8"/>
            <color indexed="81"/>
            <rFont val="Tahoma"/>
            <family val="2"/>
          </rPr>
          <t>1/1/1993</t>
        </r>
        <r>
          <rPr>
            <sz val="8"/>
            <color indexed="81"/>
            <rFont val="Tahoma"/>
            <family val="2"/>
            <charset val="161"/>
          </rPr>
          <t xml:space="preserve"> (ΝΕΟΣ ΑΣΦΑΛΙΣΜΕΝΟΣ) ΔΙΑΦΟΡΕΤΙΚΑ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  <charset val="161"/>
          </rPr>
          <t xml:space="preserve"> Ή  ΚΕΝΟ    </t>
        </r>
      </text>
    </comment>
    <comment ref="D5" authorId="0">
      <text>
        <r>
          <rPr>
            <sz val="8"/>
            <color indexed="81"/>
            <rFont val="Tahoma"/>
            <family val="2"/>
            <charset val="161"/>
          </rPr>
          <t>ΓΡΑΨΤΕ ΤΟ</t>
        </r>
        <r>
          <rPr>
            <b/>
            <sz val="8"/>
            <color indexed="81"/>
            <rFont val="Tahoma"/>
            <family val="2"/>
          </rPr>
          <t xml:space="preserve"> Μ. Κ.</t>
        </r>
      </text>
    </comment>
    <comment ref="D9" authorId="0">
      <text>
        <r>
          <rPr>
            <sz val="8"/>
            <color indexed="81"/>
            <rFont val="Tahoma"/>
            <family val="2"/>
            <charset val="161"/>
          </rPr>
          <t>ΓΡΑΨΤΕ ΤΟΝ</t>
        </r>
        <r>
          <rPr>
            <sz val="9"/>
            <color indexed="81"/>
            <rFont val="Tahoma"/>
            <family val="2"/>
            <charset val="161"/>
          </rPr>
          <t xml:space="preserve"> </t>
        </r>
        <r>
          <rPr>
            <b/>
            <sz val="9"/>
            <color indexed="81"/>
            <rFont val="Tahoma"/>
            <family val="2"/>
            <charset val="161"/>
          </rPr>
          <t xml:space="preserve">ΒΑΘΜΟ ΣΤ, Ε, Δ, Γ, Β </t>
        </r>
        <r>
          <rPr>
            <sz val="9"/>
            <color indexed="81"/>
            <rFont val="Tahoma"/>
            <family val="2"/>
            <charset val="161"/>
          </rPr>
          <t>ή</t>
        </r>
        <r>
          <rPr>
            <b/>
            <sz val="9"/>
            <color indexed="81"/>
            <rFont val="Tahoma"/>
            <family val="2"/>
            <charset val="161"/>
          </rPr>
          <t xml:space="preserve"> Α 
</t>
        </r>
        <r>
          <rPr>
            <sz val="8"/>
            <color indexed="81"/>
            <rFont val="Tahoma"/>
            <family val="2"/>
            <charset val="161"/>
          </rPr>
          <t xml:space="preserve">ΠΟΥ ΚΑΤΕΙΧΑΤΕ ΣΤΙΣ </t>
        </r>
        <r>
          <rPr>
            <b/>
            <sz val="8"/>
            <color indexed="81"/>
            <rFont val="Tahoma"/>
            <family val="2"/>
            <charset val="161"/>
          </rPr>
          <t>31/12/2015</t>
        </r>
        <r>
          <rPr>
            <sz val="8"/>
            <color indexed="81"/>
            <rFont val="Tahoma"/>
            <family val="2"/>
            <charset val="161"/>
          </rPr>
          <t xml:space="preserve">      </t>
        </r>
        <r>
          <rPr>
            <b/>
            <sz val="8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>ΜΟΝΟΝ</t>
        </r>
        <r>
          <rPr>
            <b/>
            <sz val="9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ΜΕ ΕΛΛΗΝΙΚΟΥΣ ΧΑΡΑΚΤΗΡΕΣ ΔΙΑΦΟΡΕΤΙΚΑ ΓΡΑΨΤΕ  </t>
        </r>
        <r>
          <rPr>
            <b/>
            <sz val="8"/>
            <color indexed="81"/>
            <rFont val="Tahoma"/>
            <family val="2"/>
            <charset val="161"/>
          </rPr>
          <t xml:space="preserve">0 </t>
        </r>
        <r>
          <rPr>
            <sz val="8"/>
            <color indexed="81"/>
            <rFont val="Tahoma"/>
            <family val="2"/>
            <charset val="161"/>
          </rPr>
          <t xml:space="preserve"> Ή  ΚΕΝΟ </t>
        </r>
      </text>
    </comment>
    <comment ref="D13" authorId="1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Μ.Κ</t>
        </r>
        <r>
          <rPr>
            <sz val="8"/>
            <color indexed="81"/>
            <rFont val="Tahoma"/>
            <family val="2"/>
            <charset val="161"/>
          </rPr>
          <t xml:space="preserve">. ΤΟΥ ΒΑΘΜΟΥ ΠΟΥ ΚΑΤΕΙΧΑΤΕ ΣΤΙΣ 31/12/2015
ΔΙΑΦΟΡΕΤΙΚΑ ΓΡΑΨΤΕ </t>
        </r>
        <r>
          <rPr>
            <b/>
            <sz val="8"/>
            <color indexed="81"/>
            <rFont val="Tahoma"/>
            <family val="2"/>
            <charset val="161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 </t>
        </r>
      </text>
    </comment>
    <comment ref="D16" author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</rPr>
          <t>ΠΛΗΘΟΣ</t>
        </r>
        <r>
          <rPr>
            <b/>
            <sz val="8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ΤΩΝ ΠΑΙΔΙΩΝ:
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ΑΓΑΜΟ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  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ΕΓΓΑΜΟ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1  ΠΑΙΔΙ</t>
        </r>
        <r>
          <rPr>
            <sz val="8"/>
            <color indexed="81"/>
            <rFont val="Tahoma"/>
            <family val="2"/>
            <charset val="161"/>
          </rPr>
          <t xml:space="preserve">: </t>
        </r>
        <r>
          <rPr>
            <b/>
            <sz val="8"/>
            <color indexed="81"/>
            <rFont val="Tahoma"/>
            <family val="2"/>
            <charset val="161"/>
          </rPr>
          <t xml:space="preserve">1   </t>
        </r>
        <r>
          <rPr>
            <sz val="8"/>
            <color indexed="81"/>
            <rFont val="Tahoma"/>
            <family val="2"/>
            <charset val="161"/>
          </rPr>
          <t xml:space="preserve"> ΜΕ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</t>
        </r>
        <r>
          <rPr>
            <b/>
            <sz val="8"/>
            <color indexed="81"/>
            <rFont val="Tahoma"/>
            <family val="2"/>
            <charset val="161"/>
          </rPr>
          <t>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2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3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3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4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4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5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5   </t>
        </r>
        <r>
          <rPr>
            <sz val="8"/>
            <color indexed="81"/>
            <rFont val="Tahoma"/>
            <family val="2"/>
            <charset val="161"/>
          </rPr>
          <t xml:space="preserve">ΜΕ  </t>
        </r>
        <r>
          <rPr>
            <b/>
            <sz val="8"/>
            <color indexed="81"/>
            <rFont val="Tahoma"/>
            <family val="2"/>
            <charset val="161"/>
          </rPr>
          <t>6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6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7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7 </t>
        </r>
        <r>
          <rPr>
            <sz val="8"/>
            <color indexed="81"/>
            <rFont val="Tahoma"/>
            <family val="2"/>
            <charset val="161"/>
          </rPr>
          <t xml:space="preserve">  ΜΕ</t>
        </r>
        <r>
          <rPr>
            <b/>
            <sz val="8"/>
            <color indexed="81"/>
            <rFont val="Tahoma"/>
            <family val="2"/>
            <charset val="161"/>
          </rPr>
          <t xml:space="preserve">  8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8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9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9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10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>10</t>
        </r>
      </text>
    </comment>
    <comment ref="D18" author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ΜΑΘΗΤΕΣ≥120 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ΜΑΘΗΤΕΣ&lt;120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ΓΥΜΝΑΣΙΟΥ Ή ΕΠΑ.Σ. 'Η  Ε.Κ. 'Η   Σ.Δ.Ε Ή Ε.Σ.Κ. Ή Κ.Ε.Κ. Ή ΔΙΕΥΘΥΝΤΗ ΔΗΜΟΤΙΚΟΥ ΣΧΟΛΕΙΟΥ </t>
        </r>
        <r>
          <rPr>
            <sz val="8"/>
            <color indexed="81"/>
            <rFont val="Arial"/>
            <family val="2"/>
            <charset val="161"/>
          </rPr>
          <t xml:space="preserve">≥ </t>
        </r>
        <r>
          <rPr>
            <sz val="8"/>
            <color indexed="81"/>
            <rFont val="Tahoma"/>
            <family val="2"/>
            <charset val="161"/>
          </rPr>
          <t xml:space="preserve">4/ΘΕΣΙΟΥ ΚΑΙ ΜΕ ΜΑΘΗΤΕΣ ≥ 120
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sz val="8"/>
            <color indexed="81"/>
            <rFont val="Tahoma"/>
            <family val="2"/>
            <charset val="161"/>
          </rPr>
          <t xml:space="preserve">ΓΙΑ ΔΙΕΥΘΥΝΤΗ ΓΥΜΝΑΣΙΟΥ Ή ΕΠΑ.Σ. 'Η  Ε.Κ. Ή  Σ.Δ.Ε. Ή Ε.Σ.Κ. Ή Κ.Ε.Κ. Ή ΔΙΕΥΘΥΝΤΗ ΔΗΜΟΤΙΚΟΥ ΣΧΟΛΕΙΟΥ ≥ 4/ΘΕΣΙΟΥ ΚΑΙ ΜΕ ΜΑΘΗΤΕΣ &lt;120                         
ΓΡΑΨΤΕ </t>
        </r>
        <r>
          <rPr>
            <b/>
            <sz val="8"/>
            <color indexed="81"/>
            <rFont val="Tahoma"/>
            <family val="2"/>
            <charset val="161"/>
          </rPr>
          <t>5</t>
        </r>
        <r>
          <rPr>
            <sz val="8"/>
            <color indexed="81"/>
            <rFont val="Tahoma"/>
            <family val="2"/>
            <charset val="161"/>
          </rPr>
          <t xml:space="preserve"> ΓΙΑ ΥΠΟΔΙΕΥΘΥΝΤΗ ΣΧΟΛΙΚΗΣ ΜΟΝΑΔΑΣ Ή Ε.Κ. Ή  Σ.Δ.Ε. Ή  Ι.Ε.Κ. 'Η  Ε.Σ.Κ. Ή  ΥΠΕΥΘΥΝΟ ΤΟΜΕΑ  Ε.Κ. Ή ΓΙΑ ΠΡΟΪΣΤΑΜΕΝΟ Κ.Ε.ΠΕ.Α.                  
ΓΡΑΨΤΕ</t>
        </r>
        <r>
          <rPr>
            <b/>
            <sz val="8"/>
            <color indexed="81"/>
            <rFont val="Tahoma"/>
            <family val="2"/>
          </rPr>
          <t xml:space="preserve"> 6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ΔΗΜΟΤΙΚΟΥ ΣΧΟΛΕΙΟΥ 
</t>
        </r>
        <r>
          <rPr>
            <sz val="8"/>
            <color indexed="81"/>
            <rFont val="Arial"/>
            <family val="2"/>
            <charset val="161"/>
          </rPr>
          <t>≤</t>
        </r>
        <r>
          <rPr>
            <sz val="8"/>
            <color indexed="81"/>
            <rFont val="Tahoma"/>
            <family val="2"/>
            <charset val="161"/>
          </rPr>
          <t xml:space="preserve"> 3/ΘΕΣΙΟΥ Ή ΝΗΠΙΑΓΩΓΕΙΟΥ Ή ΠΑΙΔΙΚΟΥ ΣΤΑΘΜΟΥ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7</t>
        </r>
        <r>
          <rPr>
            <sz val="8"/>
            <color indexed="81"/>
            <rFont val="Tahoma"/>
            <family val="2"/>
            <charset val="161"/>
          </rPr>
          <t xml:space="preserve"> ΓΙΑ ΣΧΟΛΙΚΟ ΣΥΜΒΟΥΛΟ ΕΚΠΑΙΔΕΥΣΗΣ 
ΓΡΑΨΤΕ </t>
        </r>
        <r>
          <rPr>
            <b/>
            <sz val="8"/>
            <color indexed="81"/>
            <rFont val="Tahoma"/>
            <family val="2"/>
            <charset val="161"/>
          </rPr>
          <t>8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ΔΙΕΥΘΥΝΣΗΣ ΕΚΠΑΙΔΕΥΣΗΣ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9 </t>
        </r>
        <r>
          <rPr>
            <sz val="8"/>
            <color indexed="81"/>
            <rFont val="Tahoma"/>
            <family val="2"/>
            <charset val="161"/>
          </rPr>
          <t xml:space="preserve">ΓΙΑ ΠΡΟΪΣΤΑΜΕΝΟ ΚΕ.Δ.Α.Σ.Υ.   
ΓΡΑΨΤΕ </t>
        </r>
        <r>
          <rPr>
            <b/>
            <sz val="8"/>
            <color indexed="81"/>
            <rFont val="Tahoma"/>
            <family val="2"/>
            <charset val="161"/>
          </rPr>
          <t>10</t>
        </r>
        <r>
          <rPr>
            <sz val="8"/>
            <color indexed="81"/>
            <rFont val="Tahoma"/>
            <family val="2"/>
            <charset val="161"/>
          </rPr>
          <t xml:space="preserve"> ΓΙΑ ΕΠΟΠΤΗ ΠΟΙΟΤΗΤΑΣ ΤΗΣ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11</t>
        </r>
        <r>
          <rPr>
            <sz val="8"/>
            <color indexed="81"/>
            <rFont val="Tahoma"/>
            <family val="2"/>
            <charset val="161"/>
          </rPr>
          <t xml:space="preserve"> ΓΙΑ ΠΕΡΙΦΕΡΕΙΑΚΟ ΔΙΕΥΘΥΝΤΗ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12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ΔΙΟΙΚΗΣΗΣ
ΓΡΑΨΤΕ </t>
        </r>
        <r>
          <rPr>
            <b/>
            <sz val="8"/>
            <color indexed="81"/>
            <rFont val="Tahoma"/>
            <family val="2"/>
            <charset val="161"/>
          </rPr>
          <t>13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ΕΚΠΑΙΔΕΥΤΙΚΩΝ ΘΕΜΑΤΩΝ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
</t>
        </r>
      </text>
    </comment>
    <comment ref="D20" author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1</t>
        </r>
        <r>
          <rPr>
            <sz val="8"/>
            <color indexed="81"/>
            <rFont val="Tahoma"/>
            <family val="2"/>
            <charset val="161"/>
          </rPr>
          <t xml:space="preserve"> ΓΙΑ ΑΠΟΜΑΚΡΥΣΜΕΝΕΣ 
ΚΑΙ  ΠΑΡΑΜΕΘΟΡΙΕΣ  ΠΕΡΙΟΧΕΣ
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      </t>
        </r>
      </text>
    </comment>
    <comment ref="D21" author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  <charset val="161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ΤΗΝ Α΄ΚΑΤΗΓΟΡΙΑ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ΤΗΝ Β΄ΚΑΤΗΓΟΡΙΑ ΓΡΑΨΤΕ </t>
        </r>
        <r>
          <rPr>
            <b/>
            <sz val="8"/>
            <color indexed="81"/>
            <rFont val="Tahoma"/>
            <family val="2"/>
            <charset val="161"/>
          </rPr>
          <t>3</t>
        </r>
        <r>
          <rPr>
            <sz val="8"/>
            <color indexed="81"/>
            <rFont val="Tahoma"/>
            <family val="2"/>
            <charset val="161"/>
          </rPr>
          <t xml:space="preserve"> ΓΙΑ ΤΗΝ Γ΄ΚΑΤΗΓΟΡΑ
ΔΙΑΦΟΡΕΤΙΚΑ 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0</t>
        </r>
        <r>
          <rPr>
            <sz val="8"/>
            <color indexed="81"/>
            <rFont val="Tahoma"/>
            <family val="2"/>
            <charset val="161"/>
          </rPr>
          <t xml:space="preserve"> Ή ΚΕΝΟ      </t>
        </r>
      </text>
    </comment>
    <comment ref="D22" author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ΤΗΣ ΔΙΑΔΟΧΙΚΗΣ ΑΣΦΑΛΙΣΗΣ 'Η ΤΗΣ ΕΞΑΓΟΡΑΣ ΤΑΜΕΙΩΝ ΔΙΑΦΟΡΕΤΙΚΑ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  <charset val="161"/>
          </rPr>
          <t xml:space="preserve"> Ή ΚΕΝΟ </t>
        </r>
      </text>
    </comment>
    <comment ref="A23" author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</rPr>
          <t xml:space="preserve">  1 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Π. Ε.</t>
        </r>
        <r>
          <rPr>
            <sz val="8"/>
            <color indexed="81"/>
            <rFont val="Tahoma"/>
            <family val="2"/>
            <charset val="161"/>
          </rPr>
          <t xml:space="preserve">  
ΓΡΑΨΤΕ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ΓΙΑ  </t>
        </r>
        <r>
          <rPr>
            <b/>
            <sz val="8"/>
            <color indexed="81"/>
            <rFont val="Tahoma"/>
            <family val="2"/>
            <charset val="161"/>
          </rPr>
          <t>Τ. Ε.</t>
        </r>
        <r>
          <rPr>
            <sz val="8"/>
            <color indexed="81"/>
            <rFont val="Tahoma"/>
            <family val="2"/>
            <charset val="161"/>
          </rPr>
          <t xml:space="preserve">   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 ΓΙΑ  </t>
        </r>
        <r>
          <rPr>
            <b/>
            <sz val="8"/>
            <color indexed="81"/>
            <rFont val="Tahoma"/>
            <family val="2"/>
            <charset val="161"/>
          </rPr>
          <t>Δ. Ε.</t>
        </r>
        <r>
          <rPr>
            <sz val="8"/>
            <color indexed="81"/>
            <rFont val="Tahoma"/>
            <family val="2"/>
            <charset val="161"/>
          </rPr>
          <t xml:space="preserve"> ΓΡΑΨΤΕ 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Υ. Ε</t>
        </r>
        <r>
          <rPr>
            <sz val="8"/>
            <color indexed="81"/>
            <rFont val="Tahoma"/>
            <family val="2"/>
            <charset val="161"/>
          </rPr>
          <t xml:space="preserve">.        </t>
        </r>
      </text>
    </comment>
    <comment ref="D23" authorId="0">
      <text>
        <r>
          <rPr>
            <sz val="8"/>
            <color indexed="81"/>
            <rFont val="Tahoma"/>
            <family val="2"/>
            <charset val="161"/>
          </rPr>
          <t>ΓΡΑΨΤΕ ΤΟ</t>
        </r>
        <r>
          <rPr>
            <b/>
            <sz val="8"/>
            <color indexed="81"/>
            <rFont val="Tahoma"/>
            <family val="2"/>
            <charset val="161"/>
          </rPr>
          <t xml:space="preserve"> 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ΤΗΣ ΑΡΧΙΚΗΣ ΕΙΣΦΟΡΑΣ ΓΙΑ ΝΕΟΔΙΟΡΙΣΤΟ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ΚΕΝΟ </t>
        </r>
      </text>
    </comment>
    <comment ref="D24" authorId="2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 xml:space="preserve">ΜΗΝΙΑΙΟ ΠΟΣΟ </t>
        </r>
        <r>
          <rPr>
            <sz val="8"/>
            <color indexed="81"/>
            <rFont val="Tahoma"/>
            <family val="2"/>
            <charset val="161"/>
          </rPr>
          <t xml:space="preserve">ΤΗΣ ΕΙΣΦΟΡΑΣ ΔΙΑΦΟΡΕΤΙΚΑ ΓΡΑΨΤΕ </t>
        </r>
        <r>
          <rPr>
            <b/>
            <sz val="8"/>
            <color indexed="81"/>
            <rFont val="Tahoma"/>
            <family val="2"/>
          </rPr>
          <t xml:space="preserve"> 0  </t>
        </r>
        <r>
          <rPr>
            <sz val="8"/>
            <color indexed="81"/>
            <rFont val="Tahoma"/>
            <family val="2"/>
            <charset val="161"/>
          </rPr>
          <t>Ή ΚΕΝΟ</t>
        </r>
      </text>
    </comment>
    <comment ref="D25" authorId="2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ΤΩΝ ΑΧΡΕΩΣΤΗΤΩΝ ΚΑΤΑΒΛΗΘΕΝΤΩΝ 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</t>
        </r>
      </text>
    </comment>
    <comment ref="D27" authorId="1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ΤΟ ΠΛΗΘΟΣ </t>
        </r>
        <r>
          <rPr>
            <sz val="8"/>
            <color indexed="81"/>
            <rFont val="Tahoma"/>
            <family val="2"/>
            <charset val="161"/>
          </rPr>
          <t xml:space="preserve">ΤΩΝ ΦΟΡΟΛΟΓΙΚΑ </t>
        </r>
        <r>
          <rPr>
            <b/>
            <sz val="8"/>
            <color indexed="81"/>
            <rFont val="Tahoma"/>
            <family val="2"/>
            <charset val="161"/>
          </rPr>
          <t>ΕΞΑΡΤΩΜΕΝΩΝ ΤΕΚΝΩΝ</t>
        </r>
      </text>
    </comment>
    <comment ref="A54" authorId="2">
      <text>
        <r>
          <rPr>
            <sz val="8"/>
            <color indexed="81"/>
            <rFont val="Tahoma"/>
            <family val="2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 xml:space="preserve"> 1  </t>
        </r>
        <r>
          <rPr>
            <sz val="8"/>
            <color indexed="81"/>
            <rFont val="Tahoma"/>
            <family val="2"/>
          </rPr>
          <t xml:space="preserve">ΓΙΑ  ΑΝΑΠΗΡΟ  ΜΕ ΑΝΑΠΗΡΙΑ&gt;= 80% 'H ΑΦΟΡΟΛΟΓΗΤΟ ΔΙΑΦΟΡΕΤΙΚΑ 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</rPr>
          <t xml:space="preserve"> Ή  ΚΕΝΟ         </t>
        </r>
      </text>
    </comment>
    <comment ref="K74" authorId="0">
      <text>
        <r>
          <rPr>
            <sz val="8"/>
            <color indexed="81"/>
            <rFont val="Tahoma"/>
            <family val="2"/>
            <charset val="161"/>
          </rPr>
          <t>ΓΡΑΨΤΕ ΤΙΣ ΗΜΕΡΕΣ ΕΡΓΑΣΙΑΣ</t>
        </r>
      </text>
    </comment>
    <comment ref="I87" authorId="2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ΤΟΥ ΔΑΝΕΙΟΥ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I88" authorId="2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ΤΟΥ ΔΑΝΕΙΟΥ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I90" authorId="2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 ΤΗΣ ΠΕΡΙΚΟΠΗΣ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A96" authorId="2">
      <text>
        <r>
          <rPr>
            <sz val="8"/>
            <color indexed="81"/>
            <rFont val="Tahoma"/>
            <family val="2"/>
          </rPr>
          <t xml:space="preserve">ΓΡΑΨΤΕ  ΤΙΣ ΗΜΕΡΕΣ  ΕΡΓΑΣΙΑΣ ΤΟΥ ΜΗΝΑ  (ΕΩΣ 30)  </t>
        </r>
      </text>
    </comment>
  </commentList>
</comments>
</file>

<file path=xl/comments6.xml><?xml version="1.0" encoding="utf-8"?>
<comments xmlns="http://schemas.openxmlformats.org/spreadsheetml/2006/main">
  <authors>
    <author>ΧΟΥΛΙΑΡΑΣ ΒΑΣΙΛΕΙΟΣ</author>
    <author>ΧΟΥΛΙΑΡΑΣ ΒΑΣΙΛΕΙΟΣ ΤΟΥ ΙΩΑΝΝΗ</author>
  </authors>
  <commentList>
    <comment ref="E7" authorId="0">
      <text>
        <r>
          <rPr>
            <sz val="8"/>
            <color indexed="81"/>
            <rFont val="Tahoma"/>
            <family val="2"/>
            <charset val="161"/>
          </rPr>
          <t xml:space="preserve">ΓΡΑΨΤΕ ΤΟ ΠΟΣΟ ΣΥΜΦΩΝΑ ΜΕ ΤΟΝ ΔΙΠΛΑΝΟ ΠΙΝΑΚΑ ΕΆΝ ΕΜΦΑΝΙΖΕΤΑΙ ΣΤΑ ΚΕΛΙΑ </t>
        </r>
        <r>
          <rPr>
            <b/>
            <sz val="8"/>
            <color indexed="81"/>
            <rFont val="Tahoma"/>
            <family val="2"/>
            <charset val="161"/>
          </rPr>
          <t xml:space="preserve"> E5</t>
        </r>
        <r>
          <rPr>
            <sz val="8"/>
            <color indexed="81"/>
            <rFont val="Tahoma"/>
            <family val="2"/>
            <charset val="161"/>
          </rPr>
          <t xml:space="preserve">, </t>
        </r>
        <r>
          <rPr>
            <b/>
            <sz val="8"/>
            <color indexed="81"/>
            <rFont val="Tahoma"/>
            <family val="2"/>
            <charset val="161"/>
          </rPr>
          <t>Ε6,</t>
        </r>
        <r>
          <rPr>
            <sz val="8"/>
            <color indexed="81"/>
            <rFont val="Tahoma"/>
            <family val="2"/>
            <charset val="161"/>
          </rPr>
          <t xml:space="preserve"> ΚΑΙ</t>
        </r>
        <r>
          <rPr>
            <b/>
            <sz val="8"/>
            <color indexed="81"/>
            <rFont val="Tahoma"/>
            <family val="2"/>
            <charset val="161"/>
          </rPr>
          <t xml:space="preserve"> Ε7</t>
        </r>
        <r>
          <rPr>
            <sz val="8"/>
            <color indexed="81"/>
            <rFont val="Tahoma"/>
            <family val="2"/>
            <charset val="161"/>
          </rPr>
          <t xml:space="preserve">  Η ΤΙΜΗ </t>
        </r>
        <r>
          <rPr>
            <b/>
            <sz val="8"/>
            <color indexed="81"/>
            <rFont val="Tahoma"/>
            <family val="2"/>
            <charset val="161"/>
          </rPr>
          <t xml:space="preserve">Ο  </t>
        </r>
        <r>
          <rPr>
            <b/>
            <u/>
            <sz val="8"/>
            <color indexed="81"/>
            <rFont val="Tahoma"/>
            <family val="2"/>
            <charset val="161"/>
          </rPr>
          <t xml:space="preserve">ΚΑΙ </t>
        </r>
        <r>
          <rPr>
            <sz val="8"/>
            <color indexed="81"/>
            <rFont val="Tahoma"/>
            <family val="2"/>
            <charset val="161"/>
          </rPr>
          <t xml:space="preserve"> ΣΤΟ ΚΕΛΙ</t>
        </r>
        <r>
          <rPr>
            <b/>
            <sz val="8"/>
            <color indexed="81"/>
            <rFont val="Tahoma"/>
            <family val="2"/>
            <charset val="161"/>
          </rPr>
          <t xml:space="preserve"> Β5 </t>
        </r>
        <r>
          <rPr>
            <sz val="8"/>
            <color indexed="81"/>
            <rFont val="Tahoma"/>
            <family val="2"/>
            <charset val="161"/>
          </rPr>
          <t>Η ΤΙΜΗ</t>
        </r>
        <r>
          <rPr>
            <b/>
            <sz val="8"/>
            <color indexed="81"/>
            <rFont val="Tahoma"/>
            <family val="2"/>
            <charset val="161"/>
          </rPr>
          <t xml:space="preserve"> 1 </t>
        </r>
      </text>
    </comment>
    <comment ref="E10" authorId="0">
      <text>
        <r>
          <rPr>
            <sz val="8"/>
            <color indexed="81"/>
            <rFont val="Tahoma"/>
            <family val="2"/>
            <charset val="161"/>
          </rPr>
          <t xml:space="preserve">ΓΡΑΨΤΕ ΤΟ ΠΟΣΟ ΣΥΜΦΩΝΑ ΜΕ ΤΟΝ ΔΙΠΛΑΝΟ ΠΙΝΑΚΑ ΕΆΝ ΕΜΦΑΝΙΖΕΤΑΙ ΣΤΑ ΚΕΛΙΑ  </t>
        </r>
        <r>
          <rPr>
            <b/>
            <sz val="8"/>
            <color indexed="81"/>
            <rFont val="Tahoma"/>
            <family val="2"/>
            <charset val="161"/>
          </rPr>
          <t>Ε8, Ε9</t>
        </r>
        <r>
          <rPr>
            <sz val="8"/>
            <color indexed="81"/>
            <rFont val="Tahoma"/>
            <family val="2"/>
            <charset val="161"/>
          </rPr>
          <t xml:space="preserve">  ΚΑΙ </t>
        </r>
        <r>
          <rPr>
            <b/>
            <sz val="8"/>
            <color indexed="81"/>
            <rFont val="Tahoma"/>
            <family val="2"/>
            <charset val="161"/>
          </rPr>
          <t>Ε10</t>
        </r>
        <r>
          <rPr>
            <sz val="8"/>
            <color indexed="81"/>
            <rFont val="Tahoma"/>
            <family val="2"/>
            <charset val="161"/>
          </rPr>
          <t xml:space="preserve">  Η ΤΙΜΗ </t>
        </r>
        <r>
          <rPr>
            <b/>
            <sz val="8"/>
            <color indexed="81"/>
            <rFont val="Tahoma"/>
            <family val="2"/>
            <charset val="161"/>
          </rPr>
          <t xml:space="preserve">Ο </t>
        </r>
        <r>
          <rPr>
            <sz val="8"/>
            <color indexed="81"/>
            <rFont val="Tahoma"/>
            <family val="2"/>
            <charset val="161"/>
          </rPr>
          <t xml:space="preserve"> </t>
        </r>
        <r>
          <rPr>
            <b/>
            <u/>
            <sz val="8"/>
            <color indexed="81"/>
            <rFont val="Tahoma"/>
            <family val="2"/>
            <charset val="161"/>
          </rPr>
          <t xml:space="preserve">ΚΑΙ </t>
        </r>
        <r>
          <rPr>
            <sz val="8"/>
            <color indexed="81"/>
            <rFont val="Tahoma"/>
            <family val="2"/>
            <charset val="161"/>
          </rPr>
          <t xml:space="preserve"> ΣΤΟ ΚΕΛΙ</t>
        </r>
        <r>
          <rPr>
            <b/>
            <sz val="8"/>
            <color indexed="81"/>
            <rFont val="Tahoma"/>
            <family val="2"/>
            <charset val="161"/>
          </rPr>
          <t xml:space="preserve"> Β8 </t>
        </r>
        <r>
          <rPr>
            <sz val="8"/>
            <color indexed="81"/>
            <rFont val="Tahoma"/>
            <family val="2"/>
            <charset val="161"/>
          </rPr>
          <t xml:space="preserve">Η ΤΙΜΗ </t>
        </r>
        <r>
          <rPr>
            <b/>
            <sz val="8"/>
            <color indexed="81"/>
            <rFont val="Tahoma"/>
            <family val="2"/>
            <charset val="161"/>
          </rPr>
          <t>1</t>
        </r>
      </text>
    </comment>
    <comment ref="E15" authorId="1">
      <text>
        <r>
          <rPr>
            <sz val="8"/>
            <color indexed="81"/>
            <rFont val="Tahoma"/>
            <family val="2"/>
            <charset val="161"/>
          </rPr>
          <t xml:space="preserve">ΓΡΑΨΤΕ ΤΟ ΠΟΣΟ ΤΗΣ ΥΠΕΡΒΑΛΛΟΥΣΑΣ ΜΕΙΩΣΗΣ 'Η ΑΥΞΗΣΗΣ ΤΟΥ ΜΙΣΘΟΥ - ΕΑΝ ΥΠΑΡΧΕΙ- ΑΠΟ ΤΗΝ ΚΑΤΑΤΑΞΗ ΠΟΥ ΕΓΙΝΕ ΣΤΙΣ </t>
        </r>
        <r>
          <rPr>
            <b/>
            <sz val="8"/>
            <color indexed="81"/>
            <rFont val="Tahoma"/>
            <family val="2"/>
            <charset val="161"/>
          </rPr>
          <t>01/11/2011</t>
        </r>
      </text>
    </comment>
    <comment ref="D27" authorId="0">
      <text>
        <r>
          <rPr>
            <sz val="8"/>
            <color indexed="81"/>
            <rFont val="Tahoma"/>
            <family val="2"/>
            <charset val="161"/>
          </rPr>
          <t xml:space="preserve">ΓΡΑΨΤΕ ΤΟ ΠΟΣΟ ΤΗΣ </t>
        </r>
        <r>
          <rPr>
            <b/>
            <sz val="8"/>
            <color indexed="81"/>
            <rFont val="Tahoma"/>
            <family val="2"/>
            <charset val="161"/>
          </rPr>
          <t>ΕΙΔΙΚΗΣ ΠΡΟΣΑΥΞΗΣΗΣ ΜΟΝΟΝ</t>
        </r>
        <r>
          <rPr>
            <sz val="8"/>
            <color indexed="81"/>
            <rFont val="Tahoma"/>
            <family val="2"/>
            <charset val="161"/>
          </rPr>
          <t xml:space="preserve"> ΕΑΝ ΕΜΦΑΝΙΖΕΤΑΙ ΠΟΣΟ ΔΙΑΦΟΡΕΤΙΚΟ ΑΠΟ ΑΥΤΌ ΤΗΣ ΑΣΦΑΛΙΣΤΙΚΗΣ ΣΑΣ ΚΛΑΣΗΣ</t>
        </r>
      </text>
    </comment>
  </commentList>
</comments>
</file>

<file path=xl/comments7.xml><?xml version="1.0" encoding="utf-8"?>
<comments xmlns="http://schemas.openxmlformats.org/spreadsheetml/2006/main">
  <authors>
    <author>ΧΟΥΛΙΑΡΑΣ ΒΑΣΙΛΕΙΟΣ ΤΟΥ ΙΩΑΝΝΗ</author>
    <author>.</author>
    <author>ΧΟΥΛΙΑΡΑΣ ΒΑΣΙΛΕΙΟΣ</author>
  </authors>
  <commentList>
    <comment ref="D5" authorId="0">
      <text>
        <r>
          <rPr>
            <sz val="8"/>
            <color indexed="81"/>
            <rFont val="Tahoma"/>
            <family val="2"/>
            <charset val="161"/>
          </rPr>
          <t>ΓΡΑΨΤΕ ΤΟ</t>
        </r>
        <r>
          <rPr>
            <b/>
            <sz val="8"/>
            <color indexed="81"/>
            <rFont val="Tahoma"/>
            <family val="2"/>
          </rPr>
          <t xml:space="preserve"> Μ. Κ.</t>
        </r>
      </text>
    </comment>
    <comment ref="D16" authorId="0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</rPr>
          <t>ΠΛΗΘΟΣ</t>
        </r>
        <r>
          <rPr>
            <b/>
            <sz val="8"/>
            <color indexed="81"/>
            <rFont val="Tahoma"/>
            <family val="2"/>
            <charset val="161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ΤΩΝ ΠΑΙΔΙΩΝ:
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ΑΓΑΜΟ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  </t>
        </r>
        <r>
          <rPr>
            <sz val="8"/>
            <color indexed="81"/>
            <rFont val="Tahoma"/>
            <family val="2"/>
            <charset val="161"/>
          </rPr>
          <t>ΓΙΑ</t>
        </r>
        <r>
          <rPr>
            <b/>
            <sz val="8"/>
            <color indexed="81"/>
            <rFont val="Tahoma"/>
            <family val="2"/>
            <charset val="161"/>
          </rPr>
          <t xml:space="preserve">   ΕΓΓΑΜΟ</t>
        </r>
        <r>
          <rPr>
            <sz val="8"/>
            <color indexed="81"/>
            <rFont val="Tahoma"/>
            <family val="2"/>
            <charset val="161"/>
          </rPr>
          <t xml:space="preserve">:  </t>
        </r>
        <r>
          <rPr>
            <b/>
            <sz val="8"/>
            <color indexed="81"/>
            <rFont val="Tahoma"/>
            <family val="2"/>
            <charset val="161"/>
          </rPr>
          <t xml:space="preserve">0 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1  ΠΑΙΔΙ</t>
        </r>
        <r>
          <rPr>
            <sz val="8"/>
            <color indexed="81"/>
            <rFont val="Tahoma"/>
            <family val="2"/>
            <charset val="161"/>
          </rPr>
          <t xml:space="preserve">: </t>
        </r>
        <r>
          <rPr>
            <b/>
            <sz val="8"/>
            <color indexed="81"/>
            <rFont val="Tahoma"/>
            <family val="2"/>
            <charset val="161"/>
          </rPr>
          <t xml:space="preserve">1   </t>
        </r>
        <r>
          <rPr>
            <sz val="8"/>
            <color indexed="81"/>
            <rFont val="Tahoma"/>
            <family val="2"/>
            <charset val="161"/>
          </rPr>
          <t xml:space="preserve"> ΜΕ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</t>
        </r>
        <r>
          <rPr>
            <b/>
            <sz val="8"/>
            <color indexed="81"/>
            <rFont val="Tahoma"/>
            <family val="2"/>
            <charset val="161"/>
          </rPr>
          <t>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2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3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3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 4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4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5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5   </t>
        </r>
        <r>
          <rPr>
            <sz val="8"/>
            <color indexed="81"/>
            <rFont val="Tahoma"/>
            <family val="2"/>
            <charset val="161"/>
          </rPr>
          <t xml:space="preserve">ΜΕ  </t>
        </r>
        <r>
          <rPr>
            <b/>
            <sz val="8"/>
            <color indexed="81"/>
            <rFont val="Tahoma"/>
            <family val="2"/>
            <charset val="161"/>
          </rPr>
          <t>6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6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7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7 </t>
        </r>
        <r>
          <rPr>
            <sz val="8"/>
            <color indexed="81"/>
            <rFont val="Tahoma"/>
            <family val="2"/>
            <charset val="161"/>
          </rPr>
          <t xml:space="preserve">  ΜΕ</t>
        </r>
        <r>
          <rPr>
            <b/>
            <sz val="8"/>
            <color indexed="81"/>
            <rFont val="Tahoma"/>
            <family val="2"/>
            <charset val="161"/>
          </rPr>
          <t xml:space="preserve">  8 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8
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9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 xml:space="preserve"> 9   </t>
        </r>
        <r>
          <rPr>
            <sz val="8"/>
            <color indexed="81"/>
            <rFont val="Tahoma"/>
            <family val="2"/>
            <charset val="161"/>
          </rPr>
          <t>ΜΕ</t>
        </r>
        <r>
          <rPr>
            <b/>
            <sz val="8"/>
            <color indexed="81"/>
            <rFont val="Tahoma"/>
            <family val="2"/>
            <charset val="161"/>
          </rPr>
          <t xml:space="preserve"> 10 ΠΑΙΔΙΑ</t>
        </r>
        <r>
          <rPr>
            <sz val="8"/>
            <color indexed="81"/>
            <rFont val="Tahoma"/>
            <family val="2"/>
            <charset val="161"/>
          </rPr>
          <t>:</t>
        </r>
        <r>
          <rPr>
            <b/>
            <sz val="8"/>
            <color indexed="81"/>
            <rFont val="Tahoma"/>
            <family val="2"/>
            <charset val="161"/>
          </rPr>
          <t>10</t>
        </r>
      </text>
    </comment>
    <comment ref="D18" author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ΜΑΘΗΤΕΣ≥120 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ΓΕΝΙΚΟΥ ΛΥΚΕΙΟΥ Ή Δ.Ι.Ε.Κ. Ή ΕΠΑΓΓΕΛΜΑΤΙΚΟΥ ΛΥΚΕΙΟΥ Ή Σ.Μ.Ε.Α.Ε. ΜΕ ΜΑΘΗΤΕΣ&lt;120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sz val="8"/>
            <color indexed="81"/>
            <rFont val="Tahoma"/>
            <family val="2"/>
            <charset val="161"/>
          </rPr>
          <t xml:space="preserve"> ΓΙΑ ΔΙΕΥΘΥΝΤΗ ΓΥΜΝΑΣΙΟΥ Ή ΕΠΑ.Σ. 'Η  Ε.Κ. 'Η   Σ.Δ.Ε Ή Ε.Σ.Κ. Ή Κ.Ε.Κ. Ή ΔΙΕΥΘΥΝΤΗ ΔΗΜΟΤΙΚΟΥ ΣΧΟΛΕΙΟΥ </t>
        </r>
        <r>
          <rPr>
            <sz val="8"/>
            <color indexed="81"/>
            <rFont val="Arial"/>
            <family val="2"/>
            <charset val="161"/>
          </rPr>
          <t xml:space="preserve">≥ </t>
        </r>
        <r>
          <rPr>
            <sz val="8"/>
            <color indexed="81"/>
            <rFont val="Tahoma"/>
            <family val="2"/>
            <charset val="161"/>
          </rPr>
          <t xml:space="preserve">4/ΘΕΣΙΟΥ ΚΑΙ ΜΕ ΜΑΘΗΤΕΣ ≥ 120
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sz val="8"/>
            <color indexed="81"/>
            <rFont val="Tahoma"/>
            <family val="2"/>
            <charset val="161"/>
          </rPr>
          <t xml:space="preserve">ΓΙΑ ΔΙΕΥΘΥΝΤΗ ΓΥΜΝΑΣΙΟΥ Ή ΕΠΑ.Σ. 'Η  Ε.Κ. Ή  Σ.Δ.Ε. Ή Ε.Σ.Κ. Ή Κ.Ε.Κ. Ή ΔΙΕΥΘΥΝΤΗ ΔΗΜΟΤΙΚΟΥ ΣΧΟΛΕΙΟΥ ≥ 4/ΘΕΣΙΟΥ ΚΑΙ ΜΕ ΜΑΘΗΤΕΣ &lt;120                         
ΓΡΑΨΤΕ </t>
        </r>
        <r>
          <rPr>
            <b/>
            <sz val="8"/>
            <color indexed="81"/>
            <rFont val="Tahoma"/>
            <family val="2"/>
            <charset val="161"/>
          </rPr>
          <t>5</t>
        </r>
        <r>
          <rPr>
            <sz val="8"/>
            <color indexed="81"/>
            <rFont val="Tahoma"/>
            <family val="2"/>
            <charset val="161"/>
          </rPr>
          <t xml:space="preserve"> ΓΙΑ ΥΠΟΔΙΕΥΘΥΝΤΗ ΣΧΟΛΙΚΗΣ ΜΟΝΑΔΑΣ Ή Ε.Κ. Ή  Σ.Δ.Ε. Ή  Ι.Ε.Κ. 'Η  Ε.Σ.Κ. Ή  ΥΠΕΥΘΥΝΟ ΤΟΜΕΑ  Ε.Κ. Ή ΓΙΑ ΠΡΟΪΣΤΑΜΕΝΟ Κ.Ε.ΠΕ.Α.                  
ΓΡΑΨΤΕ</t>
        </r>
        <r>
          <rPr>
            <b/>
            <sz val="8"/>
            <color indexed="81"/>
            <rFont val="Tahoma"/>
            <family val="2"/>
          </rPr>
          <t xml:space="preserve"> 6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ΔΗΜΟΤΙΚΟΥ ΣΧΟΛΕΙΟΥ 
</t>
        </r>
        <r>
          <rPr>
            <sz val="8"/>
            <color indexed="81"/>
            <rFont val="Arial"/>
            <family val="2"/>
            <charset val="161"/>
          </rPr>
          <t>≤</t>
        </r>
        <r>
          <rPr>
            <sz val="8"/>
            <color indexed="81"/>
            <rFont val="Tahoma"/>
            <family val="2"/>
            <charset val="161"/>
          </rPr>
          <t xml:space="preserve"> 3/ΘΕΣΙΟΥ Ή ΝΗΠΙΑΓΩΓΕΙΟΥ Ή ΠΑΙΔΙΚΟΥ ΣΤΑΘΜΟΥ
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7</t>
        </r>
        <r>
          <rPr>
            <sz val="8"/>
            <color indexed="81"/>
            <rFont val="Tahoma"/>
            <family val="2"/>
            <charset val="161"/>
          </rPr>
          <t xml:space="preserve"> ΓΙΑ ΣΧΟΛΙΚΟ ΣΥΜΒΟΥΛΟ ΕΚΠΑΙΔΕΥΣΗΣ 
ΓΡΑΨΤΕ </t>
        </r>
        <r>
          <rPr>
            <b/>
            <sz val="8"/>
            <color indexed="81"/>
            <rFont val="Tahoma"/>
            <family val="2"/>
            <charset val="161"/>
          </rPr>
          <t>8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ΔΙΕΥΘΥΝΣΗΣ ΕΚΠΑΙΔΕΥΣΗΣ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9 </t>
        </r>
        <r>
          <rPr>
            <sz val="8"/>
            <color indexed="81"/>
            <rFont val="Tahoma"/>
            <family val="2"/>
            <charset val="161"/>
          </rPr>
          <t xml:space="preserve">ΓΙΑ ΠΡΟΪΣΤΑΜΕΝΟ ΚΕ.Δ.Α.Σ.Υ.   
ΓΡΑΨΤΕ </t>
        </r>
        <r>
          <rPr>
            <b/>
            <sz val="8"/>
            <color indexed="81"/>
            <rFont val="Tahoma"/>
            <family val="2"/>
            <charset val="161"/>
          </rPr>
          <t>10</t>
        </r>
        <r>
          <rPr>
            <sz val="8"/>
            <color indexed="81"/>
            <rFont val="Tahoma"/>
            <family val="2"/>
            <charset val="161"/>
          </rPr>
          <t xml:space="preserve"> ΓΙΑ ΕΠΟΠΤΗ ΠΟΙΟΤΗΤΑΣ ΤΗΣ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11</t>
        </r>
        <r>
          <rPr>
            <sz val="8"/>
            <color indexed="81"/>
            <rFont val="Tahoma"/>
            <family val="2"/>
            <charset val="161"/>
          </rPr>
          <t xml:space="preserve"> ΓΙΑ ΠΕΡΙΦΕΡΕΙΑΚΟ ΔΙΕΥΘΥΝΤΗ ΕΚΠΑΙΔΕΥΣΗΣ
ΓΡΑΨΤΕ </t>
        </r>
        <r>
          <rPr>
            <b/>
            <sz val="8"/>
            <color indexed="81"/>
            <rFont val="Tahoma"/>
            <family val="2"/>
            <charset val="161"/>
          </rPr>
          <t>12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ΔΙΟΙΚΗΣΗΣ
ΓΡΑΨΤΕ </t>
        </r>
        <r>
          <rPr>
            <b/>
            <sz val="8"/>
            <color indexed="81"/>
            <rFont val="Tahoma"/>
            <family val="2"/>
            <charset val="161"/>
          </rPr>
          <t>13</t>
        </r>
        <r>
          <rPr>
            <sz val="8"/>
            <color indexed="81"/>
            <rFont val="Tahoma"/>
            <family val="2"/>
            <charset val="161"/>
          </rPr>
          <t xml:space="preserve"> ΓΙΑ ΠΡΟΪΣΤΑΜΕΝΟ ΤΜΗΜΑΤΟΣ ΕΚΠΑΙΔΕΥΤΙΚΩΝ ΘΕΜΑΤΩΝ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
</t>
        </r>
      </text>
    </comment>
    <comment ref="D20" author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1</t>
        </r>
        <r>
          <rPr>
            <sz val="8"/>
            <color indexed="81"/>
            <rFont val="Tahoma"/>
            <family val="2"/>
            <charset val="161"/>
          </rPr>
          <t xml:space="preserve"> ΓΙΑ ΑΠΟΜΑΚΡΥΣΜΕΝΕΣ 
ΚΑΙ  ΠΑΡΑΜΕΘΟΡΙΕΣ  ΠΕΡΙΟΧΕΣ
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      </t>
        </r>
      </text>
    </comment>
    <comment ref="D21" authorId="0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  <charset val="161"/>
          </rPr>
          <t>1</t>
        </r>
        <r>
          <rPr>
            <sz val="8"/>
            <color indexed="81"/>
            <rFont val="Tahoma"/>
            <family val="2"/>
            <charset val="161"/>
          </rPr>
          <t xml:space="preserve"> ΓΙΑ ΤΗΝ Α΄ΚΑΤΗΓΟΡΙΑ
ΓΡΑΨΤΕ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ΓΙΑ ΤΗΝ Β΄ΚΑΤΗΓΟΡΙΑ ΓΡΑΨΤΕ </t>
        </r>
        <r>
          <rPr>
            <b/>
            <sz val="8"/>
            <color indexed="81"/>
            <rFont val="Tahoma"/>
            <family val="2"/>
            <charset val="161"/>
          </rPr>
          <t>3</t>
        </r>
        <r>
          <rPr>
            <sz val="8"/>
            <color indexed="81"/>
            <rFont val="Tahoma"/>
            <family val="2"/>
            <charset val="161"/>
          </rPr>
          <t xml:space="preserve"> ΓΙΑ ΤΗΝ Γ΄ΚΑΤΗΓΟΡΑ
ΔΙΑΦΟΡΕΤΙΚΑ 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0</t>
        </r>
        <r>
          <rPr>
            <sz val="8"/>
            <color indexed="81"/>
            <rFont val="Tahoma"/>
            <family val="2"/>
            <charset val="161"/>
          </rPr>
          <t xml:space="preserve"> Ή ΚΕΝΟ      </t>
        </r>
      </text>
    </comment>
    <comment ref="D22" authorId="1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 xml:space="preserve">ΜΗΝΙΑΙΟ ΠΟΣΟ </t>
        </r>
        <r>
          <rPr>
            <sz val="8"/>
            <color indexed="81"/>
            <rFont val="Tahoma"/>
            <family val="2"/>
            <charset val="161"/>
          </rPr>
          <t xml:space="preserve">ΤΗΣ ΕΙΣΦΟΡΑΣ ΔΙΑΦΟΡΕΤΙΚΑ ΓΡΑΨΤΕ </t>
        </r>
        <r>
          <rPr>
            <b/>
            <sz val="8"/>
            <color indexed="81"/>
            <rFont val="Tahoma"/>
            <family val="2"/>
          </rPr>
          <t xml:space="preserve"> 0  </t>
        </r>
        <r>
          <rPr>
            <sz val="8"/>
            <color indexed="81"/>
            <rFont val="Tahoma"/>
            <family val="2"/>
            <charset val="161"/>
          </rPr>
          <t>Ή ΚΕΝΟ</t>
        </r>
      </text>
    </comment>
    <comment ref="A23" authorId="0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</rPr>
          <t xml:space="preserve">  1 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Π. Ε.</t>
        </r>
        <r>
          <rPr>
            <sz val="8"/>
            <color indexed="81"/>
            <rFont val="Tahoma"/>
            <family val="2"/>
            <charset val="161"/>
          </rPr>
          <t xml:space="preserve">  
ΓΡΑΨΤΕ  </t>
        </r>
        <r>
          <rPr>
            <b/>
            <sz val="8"/>
            <color indexed="81"/>
            <rFont val="Tahoma"/>
            <family val="2"/>
            <charset val="161"/>
          </rPr>
          <t>2</t>
        </r>
        <r>
          <rPr>
            <sz val="8"/>
            <color indexed="81"/>
            <rFont val="Tahoma"/>
            <family val="2"/>
            <charset val="161"/>
          </rPr>
          <t xml:space="preserve">  ΓΙΑ  </t>
        </r>
        <r>
          <rPr>
            <b/>
            <sz val="8"/>
            <color indexed="81"/>
            <rFont val="Tahoma"/>
            <family val="2"/>
            <charset val="161"/>
          </rPr>
          <t>Τ. Ε.</t>
        </r>
        <r>
          <rPr>
            <sz val="8"/>
            <color indexed="81"/>
            <rFont val="Tahoma"/>
            <family val="2"/>
            <charset val="161"/>
          </rPr>
          <t xml:space="preserve">    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 3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 ΓΙΑ  </t>
        </r>
        <r>
          <rPr>
            <b/>
            <sz val="8"/>
            <color indexed="81"/>
            <rFont val="Tahoma"/>
            <family val="2"/>
            <charset val="161"/>
          </rPr>
          <t>Δ. Ε.</t>
        </r>
        <r>
          <rPr>
            <sz val="8"/>
            <color indexed="81"/>
            <rFont val="Tahoma"/>
            <family val="2"/>
            <charset val="161"/>
          </rPr>
          <t xml:space="preserve"> ΓΡΑΨΤΕ  </t>
        </r>
        <r>
          <rPr>
            <b/>
            <sz val="8"/>
            <color indexed="81"/>
            <rFont val="Tahoma"/>
            <family val="2"/>
            <charset val="161"/>
          </rPr>
          <t xml:space="preserve">4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  <charset val="161"/>
          </rPr>
          <t xml:space="preserve">ΓΙΑ  </t>
        </r>
        <r>
          <rPr>
            <b/>
            <sz val="8"/>
            <color indexed="81"/>
            <rFont val="Tahoma"/>
            <family val="2"/>
            <charset val="161"/>
          </rPr>
          <t>Υ. Ε</t>
        </r>
        <r>
          <rPr>
            <sz val="8"/>
            <color indexed="81"/>
            <rFont val="Tahoma"/>
            <family val="2"/>
            <charset val="161"/>
          </rPr>
          <t xml:space="preserve">.        </t>
        </r>
      </text>
    </comment>
    <comment ref="D23" authorId="1">
      <text>
        <r>
          <rPr>
            <sz val="8"/>
            <color indexed="81"/>
            <rFont val="Tahoma"/>
            <family val="2"/>
            <charset val="161"/>
          </rPr>
          <t xml:space="preserve">ΓΡΑΨΤΕ ΤΟ </t>
        </r>
        <r>
          <rPr>
            <b/>
            <sz val="8"/>
            <color indexed="81"/>
            <rFont val="Tahoma"/>
            <family val="2"/>
            <charset val="161"/>
          </rPr>
          <t>ΜΗΝΙΑΙΟ ΠΟΣΟ</t>
        </r>
        <r>
          <rPr>
            <sz val="8"/>
            <color indexed="81"/>
            <rFont val="Tahoma"/>
            <family val="2"/>
            <charset val="161"/>
          </rPr>
          <t xml:space="preserve"> ΤΩΝ ΑΧΡΕΩΣΤΗΤΩΝ ΚΑΤΑΒΛΗΘΕΝΤΩΝ ΔΙΑΦΟΡΕΤΙΚΑ ΓΡΑΨΤΕ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Ή ΚΕΝΟ</t>
        </r>
      </text>
    </comment>
    <comment ref="D25" authorId="2">
      <text>
        <r>
          <rPr>
            <sz val="8"/>
            <color indexed="81"/>
            <rFont val="Tahoma"/>
            <family val="2"/>
            <charset val="161"/>
          </rPr>
          <t>ΓΡΑΨΤΕ</t>
        </r>
        <r>
          <rPr>
            <b/>
            <sz val="8"/>
            <color indexed="81"/>
            <rFont val="Tahoma"/>
            <family val="2"/>
            <charset val="161"/>
          </rPr>
          <t xml:space="preserve"> ΤΟ ΠΛΗΘΟΣ </t>
        </r>
        <r>
          <rPr>
            <sz val="8"/>
            <color indexed="81"/>
            <rFont val="Tahoma"/>
            <family val="2"/>
            <charset val="161"/>
          </rPr>
          <t xml:space="preserve">ΤΩΝ ΦΟΡΟΛΟΓΙΚΑ </t>
        </r>
        <r>
          <rPr>
            <b/>
            <sz val="8"/>
            <color indexed="81"/>
            <rFont val="Tahoma"/>
            <family val="2"/>
            <charset val="161"/>
          </rPr>
          <t>ΕΞΑΡΤΩΜΕΝΩΝ ΤΕΚΝΩΝ</t>
        </r>
      </text>
    </comment>
    <comment ref="A38" authorId="2">
      <text>
        <r>
          <rPr>
            <sz val="8"/>
            <color indexed="81"/>
            <rFont val="Tahoma"/>
            <family val="2"/>
            <charset val="161"/>
          </rPr>
          <t xml:space="preserve">ΓΡΑΨΤΕ </t>
        </r>
        <r>
          <rPr>
            <b/>
            <sz val="8"/>
            <color indexed="81"/>
            <rFont val="Tahoma"/>
            <family val="2"/>
            <charset val="161"/>
          </rPr>
          <t xml:space="preserve"> 23  </t>
        </r>
        <r>
          <rPr>
            <sz val="8"/>
            <color indexed="81"/>
            <rFont val="Tahoma"/>
            <family val="2"/>
            <charset val="161"/>
          </rPr>
          <t xml:space="preserve">ΓΙΑ  ΠΛΗΡΗ  ΑΠΑΣΧΟΛΗΣΗ Ή ΓΡΑΨΤΕ ΤΙΣ </t>
        </r>
        <r>
          <rPr>
            <b/>
            <sz val="8"/>
            <color indexed="81"/>
            <rFont val="Tahoma"/>
            <family val="2"/>
            <charset val="161"/>
          </rPr>
          <t>ΩΡΕΣ</t>
        </r>
        <r>
          <rPr>
            <sz val="8"/>
            <color indexed="81"/>
            <rFont val="Tahoma"/>
            <family val="2"/>
            <charset val="161"/>
          </rPr>
          <t xml:space="preserve"> ΜΕΡΙΚΗΣ ΑΠΑΣΧΟΛΗΣΗΣ</t>
        </r>
      </text>
    </comment>
    <comment ref="A54" authorId="1">
      <text>
        <r>
          <rPr>
            <sz val="8"/>
            <color indexed="81"/>
            <rFont val="Tahoma"/>
            <family val="2"/>
          </rPr>
          <t xml:space="preserve">ΓΡΑΨΤΕ </t>
        </r>
        <r>
          <rPr>
            <b/>
            <sz val="8"/>
            <color indexed="81"/>
            <rFont val="Tahoma"/>
            <family val="2"/>
          </rPr>
          <t xml:space="preserve"> 1  </t>
        </r>
        <r>
          <rPr>
            <sz val="8"/>
            <color indexed="81"/>
            <rFont val="Tahoma"/>
            <family val="2"/>
          </rPr>
          <t xml:space="preserve">ΓΙΑ  ΑΝΑΠΗΡΟ  ΜΕ ΑΝΑΠΗΡΙΑ&gt;= 80% 'H ΑΦΟΡΟΛΟΓΗΤΟ ΔΙΑΦΟΡΕΤΙΚΑ  ΓΡΑΨΤΕ  </t>
        </r>
        <r>
          <rPr>
            <b/>
            <sz val="8"/>
            <color indexed="81"/>
            <rFont val="Tahoma"/>
            <family val="2"/>
          </rPr>
          <t xml:space="preserve">0 </t>
        </r>
        <r>
          <rPr>
            <sz val="8"/>
            <color indexed="81"/>
            <rFont val="Tahoma"/>
            <family val="2"/>
          </rPr>
          <t xml:space="preserve"> Ή  ΚΕΝΟ         </t>
        </r>
      </text>
    </comment>
    <comment ref="K74" authorId="0">
      <text>
        <r>
          <rPr>
            <sz val="8"/>
            <color indexed="81"/>
            <rFont val="Tahoma"/>
            <family val="2"/>
            <charset val="161"/>
          </rPr>
          <t>ΓΡΑΨΤΕ ΤΙΣ ΗΜΕΡΕΣ ΕΡΓΑΣΙΑΣ</t>
        </r>
      </text>
    </comment>
    <comment ref="I83" authorId="1">
      <text>
        <r>
          <rPr>
            <sz val="8"/>
            <color indexed="81"/>
            <rFont val="Tahoma"/>
            <family val="2"/>
            <charset val="161"/>
          </rPr>
          <t xml:space="preserve">ΓΡΑΨΤΕ  ΤΟ  ΠΟΣΟ  ΤΗΣ ΠΕΡΙΚΟΠΗΣ ΔΙΑΦΟΡΕΤΙΚΑ ΓΡΑΨΤΕ  </t>
        </r>
        <r>
          <rPr>
            <b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  <charset val="161"/>
          </rPr>
          <t xml:space="preserve">  Ή  ΚΕΝΟ</t>
        </r>
      </text>
    </comment>
    <comment ref="A92" authorId="1">
      <text>
        <r>
          <rPr>
            <sz val="8"/>
            <color indexed="81"/>
            <rFont val="Tahoma"/>
            <family val="2"/>
          </rPr>
          <t xml:space="preserve">ΓΡΑΨΤΕ  ΤΙΣ ΗΜΕΡΕΣ  ΕΡΓΑΣΙΑΣ ΤΟΥ ΜΗΝΑ  (ΕΩΣ 30)  </t>
        </r>
      </text>
    </comment>
    <comment ref="J92" authorId="1">
      <text>
        <r>
          <rPr>
            <sz val="8"/>
            <color indexed="81"/>
            <rFont val="Tahoma"/>
            <family val="2"/>
          </rPr>
          <t xml:space="preserve">ΓΡΑΨΤΕ ΤΙΣ ΗΜΕΡΕΣ ΕΡΓΑΣΙΑΣ ΓΙΑ ΤΗΝ ΑΠΟΖΗΜΙΩΣΗ ΤΗΣ ΜΗ ΛΗΨΗΣ  ΚΑΝΟΝΙΚΗΣ  ΑΔΕΙΑΣ  </t>
        </r>
      </text>
    </comment>
  </commentList>
</comments>
</file>

<file path=xl/sharedStrings.xml><?xml version="1.0" encoding="utf-8"?>
<sst xmlns="http://schemas.openxmlformats.org/spreadsheetml/2006/main" count="1855" uniqueCount="326">
  <si>
    <t>ΠΟΣΟ</t>
  </si>
  <si>
    <t>ΜΗΝΕΣ</t>
  </si>
  <si>
    <t>ΣΥΝΟΛΟ</t>
  </si>
  <si>
    <t>Μ</t>
  </si>
  <si>
    <t>Ι</t>
  </si>
  <si>
    <t>Σ</t>
  </si>
  <si>
    <t>Θ</t>
  </si>
  <si>
    <t>Ο</t>
  </si>
  <si>
    <t>Δ</t>
  </si>
  <si>
    <t>Α</t>
  </si>
  <si>
    <t>ΠΟΣΟΣΤΟ</t>
  </si>
  <si>
    <t>ΚΡΑΤΗΣΕΙΣ</t>
  </si>
  <si>
    <t>ΜΗΝΙΑΙΟΣ  ΦΟΡΟΣ</t>
  </si>
  <si>
    <t>ΕΓΓΑΜΟΣ</t>
  </si>
  <si>
    <t>ΑΓΑΜΟΣ</t>
  </si>
  <si>
    <t>ΓΥΜΝΑΣΙΟΥ</t>
  </si>
  <si>
    <t>ΕΙΔΙΚΑ</t>
  </si>
  <si>
    <t>ΕΠΙΔΟΜΑΤΑ</t>
  </si>
  <si>
    <t>ΤΑΧ. ΤΑΜ.</t>
  </si>
  <si>
    <t>ΔΙΕΥΘΥΝΣΗΣ</t>
  </si>
  <si>
    <t>NEOΔΙΟΡ.</t>
  </si>
  <si>
    <t>ΣΧΟΛΙΚΟΣ</t>
  </si>
  <si>
    <t xml:space="preserve"> ΣΥΜΒΟΥΛΟΣ</t>
  </si>
  <si>
    <t>ΣΥΝΤ.ΦΟΡ.</t>
  </si>
  <si>
    <t>ΕΤΗ ΥΠΗΡΕΣΙΑΣ</t>
  </si>
  <si>
    <t>1ο  ΠΑΙΔΙ</t>
  </si>
  <si>
    <t>2ο  ΠΑΙΔΙ</t>
  </si>
  <si>
    <t>3ο  ΠΑΙΔΙ</t>
  </si>
  <si>
    <t>4ο  ΠΑΙΔΙ</t>
  </si>
  <si>
    <t>5ο  ΠΑΙΔΙ</t>
  </si>
  <si>
    <t>6ο  ΠΑΙΔΙ</t>
  </si>
  <si>
    <t>7ο  ΠΑΙΔΙ</t>
  </si>
  <si>
    <t>8ο  ΠΑΙΔΙ</t>
  </si>
  <si>
    <t>ΓΑΜΟΥ</t>
  </si>
  <si>
    <t xml:space="preserve">Α.Δ.Ε.Δ.Υ. - Ο.Λ.Μ.Ε. - Ε.Λ.Μ.Ε </t>
  </si>
  <si>
    <t xml:space="preserve">Φ Υ Λ Λ Ο   Μ Ι Σ Θ Ο Δ Ο Σ Ι Α Σ   </t>
  </si>
  <si>
    <t xml:space="preserve">ΥΠΟΛΟΓΙΣΜΟΣ  ΤΟΥ  ΦΟΡΟΥ </t>
  </si>
  <si>
    <t>ΟΝΟΜΑΣΙΑ ΚΡΑΤΗΣΗΣ</t>
  </si>
  <si>
    <t xml:space="preserve">ΒΑΣΙΚΟΣ ΜΙΣΘΟΣ - ΕΠΙΔΟΜΑΤΑ </t>
  </si>
  <si>
    <t xml:space="preserve">ΔΙΑΔ.ΑΣΦ./ ΕΞΑΓ.ΤΑΜ. </t>
  </si>
  <si>
    <t>ΔΙΑΔΟΧ. ΑΣΦΑΛ./ ΕΞΑΓΟΡΑ ΤΑΜΕΙΩΝ</t>
  </si>
  <si>
    <t>ΤΥΠΟΣ ΣΧΟΛΕΙΟΥ</t>
  </si>
  <si>
    <t>ΠΕΡΙΚΟΠΗ - ΑΠΕΡΓΙΑ</t>
  </si>
  <si>
    <t>ΑΧΡΕΩΣΤ. ΚΑΤΑΒΛΗΘ.</t>
  </si>
  <si>
    <t>ΜΗΔΕΝΙΚΟΣ  ΦΟΡΟΣ</t>
  </si>
  <si>
    <t>ΠΡΟΪΣΤAMEΝΟΣ</t>
  </si>
  <si>
    <t>ΜΗΝΑΣ / ΕΤΟΣ  Μ Ι Σ Θ Ο Δ Ο Σ Ι Α Σ :</t>
  </si>
  <si>
    <t>ΣΥΝΟΛΟ  ΜΗΝΙΑΙΩΝ  ΑΠΟΔΟΧΩΝ</t>
  </si>
  <si>
    <t>ΣΥΝΟΛΟ  ΜΗΝΙΑΙΩΝ  ΚΡΑΤΗΣΕΩΝ</t>
  </si>
  <si>
    <t>ΑΠΟΔΟΧΕΣ  ΔΕΚΑΠΕΝΘΗΜΕΡΟΥ</t>
  </si>
  <si>
    <t>ΠΛΗΡΩΤΕΕΣ  ΜΗΝΙΑΙΕΣ  ΑΠΟΔΟΧΕΣ</t>
  </si>
  <si>
    <t>1ο  ΚΛΙΜΑΚΙΟ  ΤΟΥ  ΦΟΡΟΥ</t>
  </si>
  <si>
    <t>2ο  ΚΛΙΜΑΚΙΟ  ΤΟΥ  ΦΟΡΟΥ</t>
  </si>
  <si>
    <t>3ο  ΚΛΙΜΑΚΙΟ  ΤΟΥ  ΦΟΡΟΥ</t>
  </si>
  <si>
    <t>4ο  ΚΛΙΜΑΚΙΟ  ΤΟΥ  ΦΟΡΟΥ</t>
  </si>
  <si>
    <t>ΚΑΘΑΡΕΣ  ΜΗΝΙΑΙΕΣ  ΑΠΟΔΟΧΕΣ</t>
  </si>
  <si>
    <t>ΦΟΡΟΣ</t>
  </si>
  <si>
    <t>ΥΠΟΛΟΓΙΣΜΟΣ  ΤΟΥ  ΦΟΡΟΥ</t>
  </si>
  <si>
    <t>ΕΠΙΔΟΜΑ ΘΕΣΗΣ ΕΥΘΥΝΗΣ</t>
  </si>
  <si>
    <t>ΕΠΙΔΟΜΑ ΟΙΚΟΓΕΝΕΙΑΚΗΣ ΠΑΡΟΧΗΣ</t>
  </si>
  <si>
    <t>ΑΧΡΕΩΣΤΗΤΩΣ ΚΑΤΑΒΛΗΘΕΝΤΑ</t>
  </si>
  <si>
    <t>ΔΑΝΕΙΟ</t>
  </si>
  <si>
    <t>Μ.Τ.Π.Υ.</t>
  </si>
  <si>
    <t xml:space="preserve">Α.Δ.Ε.Δ.Υ. - Ο.Λ.Μ.Ε. - Ε.Λ.Μ.Ε. </t>
  </si>
  <si>
    <t>ΜΕ 1 ΠΑΙΔΙ</t>
  </si>
  <si>
    <t>ΜΕ 2 ΠΑΙΔΙΑ</t>
  </si>
  <si>
    <t>ΜΕ 3 ΠΑΙΔΙΑ</t>
  </si>
  <si>
    <t>ΜΕ 4 ΠΑΙΔΙΑ</t>
  </si>
  <si>
    <t>ΜΕ 5 ΠΑΙΔΙΑ</t>
  </si>
  <si>
    <t>ΜΕ 6 ΠΑΙΔΙΑ</t>
  </si>
  <si>
    <t>ΜΕ 7 ΠΑΙΔΙΑ</t>
  </si>
  <si>
    <t>ΜΕ 8 ΠΑΙΔΙΑ</t>
  </si>
  <si>
    <t>ΟΙΚΟΓΕΝΕΙΑΚΑ</t>
  </si>
  <si>
    <t>9ο  ΠΑΙΔΙ</t>
  </si>
  <si>
    <t>ΜΕ 9 ΠΑΙΔΙΑ</t>
  </si>
  <si>
    <t>ΑΝΑΛΥΣΗ</t>
  </si>
  <si>
    <t>ΟΙΚΟΓΕΝΕΙΑΚΩΝ</t>
  </si>
  <si>
    <t>ΤΜΗΜΑΤΟΣ</t>
  </si>
  <si>
    <t>ΘΕΣΗ ΕΥΘΥΝΗΣ</t>
  </si>
  <si>
    <t>ΩΡΕΣ  ΑΠΑΣΧΟΛΗΣΗΣ</t>
  </si>
  <si>
    <t>Τ.Ε.Α.Δ.Υ. ΕΙΣΦΟΡΕΣ ΝΕΟΔΙΟΡΙΣΤΟΥ</t>
  </si>
  <si>
    <t>Μ.Τ.Π.Υ. ΕΙΣΦΟΡΕΣ ΝΕΟΔΙΟΡΙΣΤΟΥ</t>
  </si>
  <si>
    <t>ΚΑΤΗΓΟΡΙΑ  ΕΚΠΑΙΔΕΥΤΙΚΟΥ</t>
  </si>
  <si>
    <t>Τ.Σ.Μ.Ε.Δ.Ε.- ΕΙΔΙΚΗ ΠΡΟΣΑΥΞΗΣΗ</t>
  </si>
  <si>
    <t>ΤΣΜΕΔΕ ΕΠΙΚ.ΕΡΓΟΔ.</t>
  </si>
  <si>
    <t>ΤΣΜΕΔΕ ΕΠΙΚ.ΑΣΦΑΛ.</t>
  </si>
  <si>
    <t>ΤΣΜΕΔΕ ΣΥΝΤ.ΕΡΓΟΔ.</t>
  </si>
  <si>
    <t>ΤΣΜΕΔΕ ΣΥΝΤ.ΑΣΦΑΛ.</t>
  </si>
  <si>
    <t>Τ.Σ.Μ.Ε.Δ.Ε. ΣΥΝΤΑΞΗΣ ΕΡΓΟΔΟΤΗ</t>
  </si>
  <si>
    <t>ΚΡΑΤΗΣΗ ΥΠΕΡ ΚΥΡΙΑΣ ΣΥΝΤΑΞΗΣ</t>
  </si>
  <si>
    <t>ΟΝΟΜΑΤΕΠΩΝΥΜΟ ΕΚΠΑΙΔΕΥΤΙΚΟΥ:</t>
  </si>
  <si>
    <t>ΠΟΣΟ     ΠΕΡΙΚΟΠΗΣ</t>
  </si>
  <si>
    <t>ΠΕΡΙΟΔΟΣ   ΠΕΡΙΚΟΠΗΣ</t>
  </si>
  <si>
    <t>ΗΜΕΡΕΣ     ΕΡΓΑΣΙΑΣ</t>
  </si>
  <si>
    <t>ΜΗΝΑΣ</t>
  </si>
  <si>
    <t>ΓΙΑ  12  ΜΗΝΕΣ</t>
  </si>
  <si>
    <t>ΓΙΑ  1  ΗΜΕΡΑ</t>
  </si>
  <si>
    <t>ΚΡΑΤΗΣΗ ΥΠΕΡ ΤΟΥ Μ.Τ.Π.Υ.</t>
  </si>
  <si>
    <t>ΔΑΝΕΙΑ</t>
  </si>
  <si>
    <t>Ε.Ε.Ε.Ε.Κ.</t>
  </si>
  <si>
    <t>Μ.Κ.</t>
  </si>
  <si>
    <t>Υ.Ε.</t>
  </si>
  <si>
    <t>Δ.Ε.</t>
  </si>
  <si>
    <t>Τ.Ε.</t>
  </si>
  <si>
    <t>Π.Ε.</t>
  </si>
  <si>
    <t>1η ΑΣΦΑΛΙΣΤΙΚΗ ΚΑΤΗΓΟΡΙΑ TOY Ε.Τ.Α.Α. - Τ.Σ.Μ.Ε.Δ.Ε.</t>
  </si>
  <si>
    <t xml:space="preserve"> Τ.Ε.Θ.</t>
  </si>
  <si>
    <t>ΧΡΟΝ. ΔΙΑΣΤΗΜΑ</t>
  </si>
  <si>
    <t>ΕΙΔ. ΕΙΣΦ. ΑΛΛΗΛΕΓΓ.</t>
  </si>
  <si>
    <t>ΒΑΘΜΟΣ</t>
  </si>
  <si>
    <t>ΣΤ</t>
  </si>
  <si>
    <t>Ε</t>
  </si>
  <si>
    <t>Β</t>
  </si>
  <si>
    <t>Γ</t>
  </si>
  <si>
    <t>ΕΠΙΔΟΜΑ ΑΠΟΜΑΚΡ.- ΠΑΡΑΜΕΘΟΡ.</t>
  </si>
  <si>
    <t>ΚΕ.Δ.Δ.Υ.</t>
  </si>
  <si>
    <t>ΒΑΣΙΚΟΣ ΜΙΣΘΟΣ ΒΑΘΜΟΥ Β,Α</t>
  </si>
  <si>
    <t>ΒΑΣΙΚΟΣ ΜΙΣΘΟΣ ΒΑΘΜΟΥ Γ,Β</t>
  </si>
  <si>
    <t>ΒΑΣΙΚΟΣ ΜΙΣΘΟΣ ΒΑΘΜΟΥ ΣΤ,Ε,Δ</t>
  </si>
  <si>
    <t>ΒΑΣΙΚΟΣ ΜΙΣΘΟΣ ΒΑΘΜΟΥ ΣΤ,Ε</t>
  </si>
  <si>
    <t>ΜΙΣΘΟΛΟΓΙΟΥ</t>
  </si>
  <si>
    <t>BAΘ.- M.K.</t>
  </si>
  <si>
    <t>ΔΙΕΥΘΥΝΤΗΣ</t>
  </si>
  <si>
    <t>ΠΕΡΙΦΕΡΕΙΑΚΟΣ</t>
  </si>
  <si>
    <t>ΕΙΔ. ΕΙΣΦ. ΥΠΕΡ ΟΑΕΔ</t>
  </si>
  <si>
    <t>Υ Π Η Ρ Ε Σ Ι Α  Μ Ι Σ Θ Ο Δ Ο Σ Ι Α Σ :</t>
  </si>
  <si>
    <t>0 - 2</t>
  </si>
  <si>
    <t>2 - 4</t>
  </si>
  <si>
    <t>4 - 6</t>
  </si>
  <si>
    <t>10%</t>
  </si>
  <si>
    <t>6 - 8</t>
  </si>
  <si>
    <t>8 - 10</t>
  </si>
  <si>
    <t>20%</t>
  </si>
  <si>
    <t>10 - 12</t>
  </si>
  <si>
    <t>12 - 14</t>
  </si>
  <si>
    <t>80%</t>
  </si>
  <si>
    <t>14 - 17</t>
  </si>
  <si>
    <t>17 - 20</t>
  </si>
  <si>
    <t>20 - 22</t>
  </si>
  <si>
    <t>14 - 16</t>
  </si>
  <si>
    <t>14 -16</t>
  </si>
  <si>
    <t>16 - 18</t>
  </si>
  <si>
    <t>18 - 20</t>
  </si>
  <si>
    <t>ΒΑΣΙΚΟΣ ΜΙΣΘΟΣ ΒΑΘΜΟΥ Δ,Γ</t>
  </si>
  <si>
    <t xml:space="preserve">ΠΑΛΑΙΟΣ  Ή  ΝΕΟΣ  ΑΣΦΑΛΙΣΜΕΝΟΣ </t>
  </si>
  <si>
    <r>
      <t xml:space="preserve">ΔΗΜΟΤΙΚΟΥ </t>
    </r>
    <r>
      <rPr>
        <b/>
        <sz val="10"/>
        <rFont val="Arial"/>
        <family val="2"/>
        <charset val="161"/>
      </rPr>
      <t xml:space="preserve">≥ </t>
    </r>
    <r>
      <rPr>
        <b/>
        <sz val="10"/>
        <rFont val="Arial Greek"/>
        <family val="2"/>
        <charset val="161"/>
      </rPr>
      <t>4</t>
    </r>
  </si>
  <si>
    <r>
      <t xml:space="preserve">ΔΗΜΟΤΙΚΟΥ </t>
    </r>
    <r>
      <rPr>
        <b/>
        <sz val="10"/>
        <rFont val="Arial"/>
        <family val="2"/>
        <charset val="161"/>
      </rPr>
      <t xml:space="preserve">≤ </t>
    </r>
    <r>
      <rPr>
        <b/>
        <sz val="10"/>
        <rFont val="Arial Greek"/>
        <family val="2"/>
        <charset val="161"/>
      </rPr>
      <t>3</t>
    </r>
  </si>
  <si>
    <t>ΥΠΟΔΙΕΥΘΥΝΤΗΣ  ΣΧΟΛΙΚΗΣ  ΜΟΝΑΔΑΣ</t>
  </si>
  <si>
    <r>
      <t xml:space="preserve">ΔΙΕΥΘΥΝΤΗΣ  ΣΧΟΛΕΙΟΥ  ΜΕ  ΤΜΗΜΑΤΑ  </t>
    </r>
    <r>
      <rPr>
        <b/>
        <sz val="10"/>
        <rFont val="Arial"/>
        <family val="2"/>
        <charset val="161"/>
      </rPr>
      <t xml:space="preserve">≥ </t>
    </r>
    <r>
      <rPr>
        <b/>
        <sz val="10"/>
        <rFont val="Arial Greek"/>
        <family val="2"/>
        <charset val="161"/>
      </rPr>
      <t xml:space="preserve"> 9</t>
    </r>
  </si>
  <si>
    <r>
      <t xml:space="preserve">ΔΙΕΥΘΥΝΤΗΣ  ΣΧΟΛΕΙΟΥ  ΜΕ  ΤΜΗΜΑΤΑ  </t>
    </r>
    <r>
      <rPr>
        <b/>
        <sz val="10"/>
        <rFont val="Arial"/>
        <family val="2"/>
        <charset val="161"/>
      </rPr>
      <t xml:space="preserve">≤ </t>
    </r>
    <r>
      <rPr>
        <b/>
        <sz val="10"/>
        <rFont val="Arial Greek"/>
        <family val="2"/>
        <charset val="161"/>
      </rPr>
      <t xml:space="preserve"> 8</t>
    </r>
  </si>
  <si>
    <t>10ο  ΠΑΙΔΙ</t>
  </si>
  <si>
    <t>ΜΕ 10 ΠΑΙΔΙΑ</t>
  </si>
  <si>
    <t>ΝΗΠΙΑΓΩΓΕΙΟΥ</t>
  </si>
  <si>
    <t>ΓΡΑΦΕΙΟΥ</t>
  </si>
  <si>
    <t xml:space="preserve"> ΕΠΑ.Σ. Ή Σ.Ε.Κ.</t>
  </si>
  <si>
    <t>Σ.Δ.Ε. Ή Ι.Ε.Κ.</t>
  </si>
  <si>
    <t>ΥΠΕΥΘΥΝΟΣ</t>
  </si>
  <si>
    <t xml:space="preserve">ΤΟΜΕΑ  Σ.Ε.Κ. </t>
  </si>
  <si>
    <t>Κ.Π.Ε.</t>
  </si>
  <si>
    <t>ΠΡΟΪΣΤΑΜΕΝΟΣ</t>
  </si>
  <si>
    <t>ΓΕΝΙΚ. ΛΥΚΕΙΟΥ</t>
  </si>
  <si>
    <t>ΕΠΑΓΓ. ΛΥΚΕΙΟΥ</t>
  </si>
  <si>
    <t>ΔΙΕΥΘΥΝΤΗΣ  ΣΧΟΛΕΙΟΥ  ΜΕ  ΤΜΗΜΑΤΑ ≥ 6</t>
  </si>
  <si>
    <r>
      <t xml:space="preserve">ΔΙΕΥΘΥΝΤΗΣ  ΣΧΟΛΕΙΟΥ  ΜΕ  ΤΜΗΜΑΤΑ </t>
    </r>
    <r>
      <rPr>
        <b/>
        <sz val="10"/>
        <rFont val="Arial"/>
        <family val="2"/>
        <charset val="161"/>
      </rPr>
      <t>≤ 5</t>
    </r>
  </si>
  <si>
    <t>30%</t>
  </si>
  <si>
    <t>70%</t>
  </si>
  <si>
    <t>ΠΑΙΔ. ΣΤΑΘΜΟΥ</t>
  </si>
  <si>
    <t>M.K.</t>
  </si>
  <si>
    <t>Σ.Ε.Κ.</t>
  </si>
  <si>
    <t xml:space="preserve">ΒΑΣΙΚΟΣ ΜΙΣΘΟΣ </t>
  </si>
  <si>
    <t>Α  Ν  Α  Λ  Υ  Σ  Η    Τ  Η  Σ    Μ  Ι  Σ  Θ  Ο  Δ  Ο  Σ  Ι  Α  Σ    2  0  1  1 - Β</t>
  </si>
  <si>
    <t>ΕΠΙΣΤ.ΠΑΙΔ.ΚΑΘ.</t>
  </si>
  <si>
    <t>ΕΠΙΔΟΜΑ ΕΠΙΚΙΝΔΥΝ.- ΑΝΘΥΓΙΕΙΝΗΣ</t>
  </si>
  <si>
    <t>ΕΙΔΙΚΗ  ΕΙΣΦΟΡΑ</t>
  </si>
  <si>
    <t xml:space="preserve">ΕΙΔΙΚΗ  ΕΙΣΦΟΡΑ </t>
  </si>
  <si>
    <t>Τ.Π.Δ.Υ. ΕΙΔ. ΕΙΣΦΟΡΑ</t>
  </si>
  <si>
    <t>ΑΔΕΔΥ- ΟΛΜΕ- ΕΛΜΕ</t>
  </si>
  <si>
    <t>ΦΟΡΕΑΣ ΑΣΦΑΛΙΣΗΣ</t>
  </si>
  <si>
    <t>ΚΛΑΔΟΙ ΑΣΦΑΛΙΣΗΣ</t>
  </si>
  <si>
    <t>-</t>
  </si>
  <si>
    <t>Ο.Α.Ε.Δ.</t>
  </si>
  <si>
    <t>ΑΝΕΡΓΙΑ</t>
  </si>
  <si>
    <t>ΣΤΡΑΤΕΥΣΗ</t>
  </si>
  <si>
    <t>Ο.Ε.Κ.</t>
  </si>
  <si>
    <t>ΕΡΓΑΤΙΚΗΣ ΚΑΤΟΙΚΙΑΣ</t>
  </si>
  <si>
    <t>Ο.Ε.Ε.</t>
  </si>
  <si>
    <t>ΕΡΓΑΤΙΚΗΣ ΕΣΤΙΑΣ</t>
  </si>
  <si>
    <t>ΣΥΝΤΑΞΗΣ</t>
  </si>
  <si>
    <t>Δ. Λ.Ο.Ε.Μ.</t>
  </si>
  <si>
    <t>Λ.Π.Ε.Α. Α.Ε.</t>
  </si>
  <si>
    <t>Λ.Α.Ε.Κ.</t>
  </si>
  <si>
    <t>ΠΙΝΑΚΑΣ ΠΟΣΟΣΤΩΝ ΑΣΦΑΛΙΣΤΡΩΝ ΤΟΥ Ι.Κ.Α. - Ε.Τ.Α.Μ.</t>
  </si>
  <si>
    <t>ΑΣΦΑΛΙΣΜΕΝΟΥ</t>
  </si>
  <si>
    <t>ΕΡΓΟΔΟΤΗ</t>
  </si>
  <si>
    <t>ΠΟΣΟΣΤΑ ΕΙΣΦΟΡΩΝ</t>
  </si>
  <si>
    <t>ΕΠΙΚΙΝΔΥΝΗΣ  ΚΑΙ  ΑΝΘΥΓΙΕΙΝΗΣ  ΕΡΓΑΣΙΑΣ</t>
  </si>
  <si>
    <t>ΑΠΟΜΑΚΡΥΣΜΕΝΩΝ</t>
  </si>
  <si>
    <t>ΠΑΡΑΜΕΘΟΡΙΩΝ</t>
  </si>
  <si>
    <t>Α' ΚΑΤΗΓΟΡΙΑ</t>
  </si>
  <si>
    <t>Β' ΚΑΤΗΓΟΡΙΑ</t>
  </si>
  <si>
    <t>Γ' ΚΑΤΗΓΟΡΙΑ</t>
  </si>
  <si>
    <t xml:space="preserve"> ΕΠΑ.Σ.</t>
  </si>
  <si>
    <t>ΥΠΕΡΒΑΛΛΟΥΣΑ ΜΕΙΩΣΗ - ΑΥΞΗΣΗ</t>
  </si>
  <si>
    <t>ΜΙΣΘΟΔΟΣΙΑ ΑΝΑΠΛΗΡΩΤΩΝ ΕΚΠΑΙΔΕΥΤΙΚΩΝ</t>
  </si>
  <si>
    <t>ΣΥΝΟΛΟ ΑΠΟΔΟΧΩΝ - ΦΟΡΟΥ</t>
  </si>
  <si>
    <t>ΠΕΡΙΚΟΠΕΣ ΑΠΕΡΓΙΑΣ</t>
  </si>
  <si>
    <t>ΑΡΧΙΚΕΣ ΕΙΣΦΟΡΕΣ ΝΕΟΔΙΟΡΙΣΤΟΥ</t>
  </si>
  <si>
    <t>ΕΙΣΟΔΗΜΑ</t>
  </si>
  <si>
    <t xml:space="preserve">ΓΕΝΙΚΑ  ΣΥΝΟΛΑ </t>
  </si>
  <si>
    <t>Βασίλειος Ι. Χουλιάρας</t>
  </si>
  <si>
    <t>ΠΕ 03 - Μαθηματικός</t>
  </si>
  <si>
    <t>Για πληροφορίες, ερωτήματα, σχόλια</t>
  </si>
  <si>
    <t>και παρατηρήσεις επικοινωνήστε:</t>
  </si>
  <si>
    <t>e-mail: choulvas@sch.gr</t>
  </si>
  <si>
    <t>τηλ.: 6976285698</t>
  </si>
  <si>
    <t>0 - 3</t>
  </si>
  <si>
    <t>27 - 30</t>
  </si>
  <si>
    <t>30 - 33</t>
  </si>
  <si>
    <t>33 - 36</t>
  </si>
  <si>
    <t>36 - 39</t>
  </si>
  <si>
    <t>21 - 24</t>
  </si>
  <si>
    <t>24 - 27</t>
  </si>
  <si>
    <t>ΣΥΝΟΛΟ  ΕΤΗΣΙΩΝ  ΑΠΟΔΟΧΩΝ</t>
  </si>
  <si>
    <t>ΣΥΝΟΛΟ  ΕΤΗΣΙΩΝ  ΚΡΑΤΗΣΕΩΝ</t>
  </si>
  <si>
    <t>ΚΑΘΑΡΕΣ  ΕΤΗΣΙΕΣ  ΑΠΟΔΟΧΕΣ</t>
  </si>
  <si>
    <t>ΜΙΣΘΟΔΟΣΙΑ ΩΡΟΜΙΣΘΙΩΝ ΕΚΠΑΙΔΕΥΤΙΚΩΝ</t>
  </si>
  <si>
    <t>ΓΕΝΙΚΑ  ΣΥΝΟΛΑ  ΑΠΟΔΟΧΩΝ</t>
  </si>
  <si>
    <t>ΥΠΟΧΡΕΩΤΙΚΟ  ΩΡΑΡΙΟ</t>
  </si>
  <si>
    <t>Τ.Σ.Μ.Ε.Δ.Ε.- ΕΙΣΦ.1ης ΑΣΦΑΛ.ΚΑΤ.Χ8</t>
  </si>
  <si>
    <t>22 - 24</t>
  </si>
  <si>
    <t>24 - 26</t>
  </si>
  <si>
    <t>26 - 28</t>
  </si>
  <si>
    <t>28 - 30</t>
  </si>
  <si>
    <t>30 - 32</t>
  </si>
  <si>
    <t>32 - 34</t>
  </si>
  <si>
    <t>34 - 36</t>
  </si>
  <si>
    <t>36 - 38</t>
  </si>
  <si>
    <t>3 - 6</t>
  </si>
  <si>
    <t>6 - 9</t>
  </si>
  <si>
    <t>9 - 12</t>
  </si>
  <si>
    <t>12 - 15</t>
  </si>
  <si>
    <t>15 - 18</t>
  </si>
  <si>
    <t>18 - 21</t>
  </si>
  <si>
    <t>ΕΠΙΔΟΜΑ ΠΡΟΣΩΠΙΚΗΣ ΔΙΑΦΟΡΑΣ</t>
  </si>
  <si>
    <t>ΒΑΣΙΚΟΣ ΜΙΣΘΟΣ (17=&lt;M.K.=&lt;19)</t>
  </si>
  <si>
    <t>ΒΑΣΙΚΟΣ ΜΙΣΘΟΣ (1=&lt;M.K.=&lt; 8)</t>
  </si>
  <si>
    <t>ΒΑΣΙΚΟΣ ΜΙΣΘΟΣ (9=&lt;M.K.=&lt;16)</t>
  </si>
  <si>
    <t>ΒΑΣΙΚΟΣ ΜΙΣΘΟΣ (9=&lt;M.K.=&lt;13)</t>
  </si>
  <si>
    <r>
      <t>ΠΡΟΣΟΧΗ!</t>
    </r>
    <r>
      <rPr>
        <b/>
        <sz val="10"/>
        <color indexed="10"/>
        <rFont val="Arial Greek"/>
        <family val="2"/>
        <charset val="161"/>
      </rPr>
      <t xml:space="preserve"> ΣΗΜΕΙΩΝΕΤΕ  </t>
    </r>
    <r>
      <rPr>
        <b/>
        <u/>
        <sz val="10"/>
        <color indexed="10"/>
        <rFont val="Arial Greek"/>
        <charset val="161"/>
      </rPr>
      <t>ΜΟΝΟΝ</t>
    </r>
    <r>
      <rPr>
        <b/>
        <sz val="10"/>
        <color indexed="10"/>
        <rFont val="Arial Greek"/>
        <charset val="161"/>
      </rPr>
      <t xml:space="preserve">  </t>
    </r>
    <r>
      <rPr>
        <b/>
        <sz val="10"/>
        <color indexed="10"/>
        <rFont val="Arial Greek"/>
        <family val="2"/>
        <charset val="161"/>
      </rPr>
      <t xml:space="preserve">ΣΤΑ  ΚΕΛΙΑ  ΤΗΣ  1ης (Α)  ΚΑΙ  ΤΗΣ  4ης (D)  ΣΤΗΛΗΣ  ΚΑΙ  </t>
    </r>
    <r>
      <rPr>
        <b/>
        <u/>
        <sz val="10"/>
        <color indexed="10"/>
        <rFont val="Arial Greek"/>
        <charset val="161"/>
      </rPr>
      <t>ΟΠΟΥ</t>
    </r>
    <r>
      <rPr>
        <b/>
        <sz val="10"/>
        <color indexed="10"/>
        <rFont val="Arial Greek"/>
        <charset val="161"/>
      </rPr>
      <t xml:space="preserve">  ΥΠΑΡΧΟΥΝ  ΣΧΟΛΙΑ,  ΣΥΜΦΩΝΑ  ΜΕ  ΤΙΣ  ΟΔΗΓΙΕΣ  ΠΟΥ  ΥΠΑΡΧΟΥΝ  ΣΕ  ΑΥTA</t>
    </r>
  </si>
  <si>
    <t>ΜΗΝΙΑΙΑ ΕΙΔΙΚΗ ΕΙΣΦΟΡΑ</t>
  </si>
  <si>
    <t>1ο  ΚΛΙΜΑΚΙΟ ΤΗΣ ΕΙΔΙΚΗΣ ΕΙΣΦΟΡΑΣ</t>
  </si>
  <si>
    <t>2ο  ΚΛΙΜΑΚΙΟ ΤΗΣ ΕΙΔΙΚΗΣ ΕΙΣΦΟΡΑΣ</t>
  </si>
  <si>
    <t>3ο  ΚΛΙΜΑΚΙΟ ΤΗΣ ΕΙΔΙΚΗΣ ΕΙΣΦΟΡΑΣ</t>
  </si>
  <si>
    <t>4ο  ΚΛΙΜΑΚΙΟ ΤΗΣ ΕΙΔΙΚΗΣ ΕΙΣΦΟΡΑΣ</t>
  </si>
  <si>
    <t>5ο  ΚΛΙΜΑΚΙΟ ΤΗΣ ΕΙΔΙΚΗΣ ΕΙΣΦΟΡΑΣ</t>
  </si>
  <si>
    <t>6ο  ΚΛΙΜΑΚΙΟ ΤΗΣ ΕΙΔΙΚΗΣ ΕΙΣΦΟΡΑΣ</t>
  </si>
  <si>
    <t>7ο  ΚΛΙΜΑΚΙΟ ΤΗΣ ΕΙΔΙΚΗΣ ΕΙΣΦΟΡΑΣ</t>
  </si>
  <si>
    <t>ΕΙΔ. ΕΙΣΦ.</t>
  </si>
  <si>
    <t>ΥΠΟΛΟΓΙΣΜΟΣ  ΕΙΔΙΚΗΣ  ΕΙΣΦΟΡΑΣ</t>
  </si>
  <si>
    <t>ΣΥΝΤ.ΕΙΣΦ.</t>
  </si>
  <si>
    <t>ΜΕΙΩΣΗ ΦΟΡΟΥ</t>
  </si>
  <si>
    <t>ΑΝΩΤΕΡΟ  ΣΥΝΟΛΟ  ΜΗΝΙΑΙΩΝ  ΑΠΟΔΟΧΩΝ  ΤOY  Ε.Τ.Α.Α. - Τ.Σ.Μ.Ε.Δ.Ε.</t>
  </si>
  <si>
    <t>Τ.Σ.Μ.Ε.Δ.Ε.- ΑΝΩΤ. ΣΥΝ. ΜΗΝ. ΑΠΟΔ.</t>
  </si>
  <si>
    <t>ΜΙΣΘΟΔΟΣΙΑ ΑΝΑΠΛΗΡΩΤΩΝ ΕΚΠΑΙΔΕΥΤΙΚΩΝ ΜΗΧΑΝΙΚΩΝ</t>
  </si>
  <si>
    <t>ΜΙΣΘΟΔΟΣΙΑ ΜΟΝΙΜΩΝ ΕΚΠΑΙΔΕΥΤΙΚΩΝ ΜΗΧΑΝΙΚΩΝ</t>
  </si>
  <si>
    <t>ΜΙΣΘΟΔΟΣΙΑ ΜΟΝΙΜΩΝ ΕΚΠΑΙΔΕΥΤΙΚΩΝ ΜΗΧΑΝΙΚΩΝ Π.Μ.</t>
  </si>
  <si>
    <t>ΕΞΑΡΤΩΜΕΝΑ ΤΕΚΝΑ ΦΟΡΟΛΟΓΙΚΑ</t>
  </si>
  <si>
    <t>ΣΥΝΟΛΟ ΑΠΟΔΟΧ.-ΕΙΔΙΚΗΣ ΕΙΣΦΟΡΑΣ</t>
  </si>
  <si>
    <t>ΚΑΤΗΓΟΡΙΑ ΕΚΠΑΙΔΕΥΤΙΚΟΥ</t>
  </si>
  <si>
    <r>
      <t>ΠΡΟΣΟΧΗ!</t>
    </r>
    <r>
      <rPr>
        <b/>
        <sz val="10"/>
        <color indexed="10"/>
        <rFont val="Arial Greek"/>
        <family val="2"/>
        <charset val="161"/>
      </rPr>
      <t xml:space="preserve"> ΣΗΜΕΙΩΝΕΤΕ  </t>
    </r>
    <r>
      <rPr>
        <b/>
        <u/>
        <sz val="10"/>
        <color indexed="10"/>
        <rFont val="Arial Greek"/>
        <charset val="161"/>
      </rPr>
      <t>ΜΟΝΟΝ</t>
    </r>
    <r>
      <rPr>
        <b/>
        <sz val="10"/>
        <color indexed="10"/>
        <rFont val="Arial Greek"/>
        <charset val="161"/>
      </rPr>
      <t xml:space="preserve"> </t>
    </r>
    <r>
      <rPr>
        <b/>
        <sz val="10"/>
        <color indexed="10"/>
        <rFont val="Arial Greek"/>
        <family val="2"/>
        <charset val="161"/>
      </rPr>
      <t xml:space="preserve"> ΣΤΑ  ΚΕΛΙΑ  ΤΗΣ  1ης (Α)  ΚΑΙ  ΤΗΣ  4ης (D)  ΣΤΗΛΗΣ  ΚΑΙ  </t>
    </r>
    <r>
      <rPr>
        <b/>
        <u/>
        <sz val="10"/>
        <color indexed="10"/>
        <rFont val="Arial Greek"/>
        <charset val="161"/>
      </rPr>
      <t xml:space="preserve">ΟΠΟΥ  </t>
    </r>
    <r>
      <rPr>
        <b/>
        <sz val="10"/>
        <color indexed="10"/>
        <rFont val="Arial Greek"/>
        <charset val="161"/>
      </rPr>
      <t>ΥΠΑΡΧΟΥΝ  ΣΧΟΛΙΑ,  ΣΥΜΦΩΝΑ  ΜΕ  ΤΙΣ  ΟΔΗΓΙΕΣ  ΠΟΥ  ΥΠΑΡΧΟΥΝ  ΣΕ  ΑΥTA</t>
    </r>
  </si>
  <si>
    <t xml:space="preserve"> ΠΑΛΑΙΟΣ  Ή  ΝΕΟΣ  ΑΣΦΑΛΙΣΜΕΝΟΣ </t>
  </si>
  <si>
    <t>ΑΠΟΖΗΜΙΩΣΗ ΜΗ ΛΗΨΗΣ ΑΔΕΙΑΣ</t>
  </si>
  <si>
    <t>Ε.Φ.Κ.Α.- ΚΥΡΙΑ ΣΥΝΤΑΞΗ ΕΡΓΟΔΟΤΗ</t>
  </si>
  <si>
    <t>Υ/Δντής 1ου Γενικού Λυκείου Αγρινίου</t>
  </si>
  <si>
    <t>ΠΑΡΟΧΗ ΣΕ ΕΙΔΟΣ</t>
  </si>
  <si>
    <t>ΠΑΡΟΧΗ ΣΕ ΧΡΗΜΑ</t>
  </si>
  <si>
    <t>Ε.Φ.Κ.Α.-ΠΑΡΟΧΕΣ ΣΕ ΧΡΗΜΑ ΕΡΓΟΔ.</t>
  </si>
  <si>
    <t>Ε.Φ.Κ.Α.-ΠΑΡΟΧΕΣ ΣΕ ΕΙΔΟΣ ΕΡΓΟΔ.</t>
  </si>
  <si>
    <t>ΤΣΜΕΔΕ ΠΡΟΝΟΙΑΣ</t>
  </si>
  <si>
    <t>ΤΣΜΕΔΕ ΥΓΕΙΑΣ ΕΡΓ.</t>
  </si>
  <si>
    <t>ΤΣΜΕΔΕ ΥΓΕΙΑΣ ΑΣΦ.</t>
  </si>
  <si>
    <t>Τ.Σ.Μ.Ε.Δ.Ε. ΥΓΕΙΑΣ ΕΡΓΟΔΟΤΗ</t>
  </si>
  <si>
    <t>Τ.Σ.Μ.Ε.Δ.Ε. ΕΠΙΚΟΥΡΙΚΗ ΕΡΓΟΔΟΤΗ</t>
  </si>
  <si>
    <t>ΔΙΕΥΘΥΝΤΗΣ  ΣΧΟΛΕΙΟΥ  ΜΕ  ΜΑΘΗΤΕΣ ≥ 120</t>
  </si>
  <si>
    <r>
      <t>ΔΙΕΥΘΥΝΤΗΣ  ΣΧΟΛΕΙΟΥ  ΜΕ  ΜΑΘΗΤΕΣ &lt;</t>
    </r>
    <r>
      <rPr>
        <b/>
        <sz val="10"/>
        <rFont val="Arial"/>
        <family val="2"/>
        <charset val="161"/>
      </rPr>
      <t xml:space="preserve"> 120</t>
    </r>
  </si>
  <si>
    <r>
      <t>ΔΙΕΥΘΥΝΤΗΣ  ΣΧΟΛΕΙΟΥ  ΜΕ  ΜΑΘΗΤΕΣ &lt;</t>
    </r>
    <r>
      <rPr>
        <b/>
        <sz val="10"/>
        <rFont val="Arial"/>
        <family val="2"/>
        <charset val="161"/>
      </rPr>
      <t xml:space="preserve"> </t>
    </r>
    <r>
      <rPr>
        <b/>
        <sz val="10"/>
        <rFont val="Arial Greek"/>
        <family val="2"/>
        <charset val="161"/>
      </rPr>
      <t>120</t>
    </r>
  </si>
  <si>
    <r>
      <t xml:space="preserve">ΔΙΕΥΘΥΝΤΗΣ  ΣΧΟΛΕΙΟΥ  ΜΕ  ΜΑΘΗΤΕΣ </t>
    </r>
    <r>
      <rPr>
        <b/>
        <sz val="10"/>
        <rFont val="Arial"/>
        <family val="2"/>
        <charset val="161"/>
      </rPr>
      <t>≥</t>
    </r>
    <r>
      <rPr>
        <b/>
        <sz val="10"/>
        <rFont val="Arial Greek"/>
        <family val="2"/>
        <charset val="161"/>
      </rPr>
      <t xml:space="preserve"> 120</t>
    </r>
  </si>
  <si>
    <t>Ε.Κ.</t>
  </si>
  <si>
    <t xml:space="preserve">ΤΟΜΕΑ  Ε.Κ. </t>
  </si>
  <si>
    <t>ΕΠΑ.Σ.</t>
  </si>
  <si>
    <t xml:space="preserve">Ε.Τ.Ε.Α.Ε.Π.           </t>
  </si>
  <si>
    <t>5ο  ΚΛΙΜΑΚΙΟ  ΤΟΥ  ΦΟΡΟΥ</t>
  </si>
  <si>
    <t>ΩΡΕΣ  ΕΒΔΟΜΑΔΙΑΙΑΣ  ΑΠΑΣΧΟΛΗΣΗΣ</t>
  </si>
  <si>
    <t>Ε.Φ.Κ.Α.- Τ.Ε.Α.Δ.Υ. ΕΡΓΟΔΟΤΗ</t>
  </si>
  <si>
    <t>Ε.Φ.Κ.Α.- Ι.Κ.Α. ΜΙΚΤΑ ΕΡΓΟΔΟΤΗ</t>
  </si>
  <si>
    <t>Ε.Φ.Κ.Α.-Ι.Κ.Α.ΑΣΘΕΝΕΙΑΣ ΕΡΓΟΔΟΤΗ</t>
  </si>
  <si>
    <t>ΕΦΚΑ ΠΑΡ.ΣΕ ΕΙΔ.ΕΡΓ.</t>
  </si>
  <si>
    <t>ΕΦΚΑ ΠΑΡ.ΣΕ ΧΡ. ΕΡΓ.</t>
  </si>
  <si>
    <t>ΕΦΚΑ ΠΑΡ.ΣΕ ΕΙΔ.ΑΣΦ.</t>
  </si>
  <si>
    <t>ΕΦΚΑ ΠΑΡ.ΣΕ ΧΡ. ΑΣΦ.</t>
  </si>
  <si>
    <t>ΕΦΚΑ Τ.Ε.Α.Δ.Υ. ΑΣΦ.</t>
  </si>
  <si>
    <t>ΕΦΚΑ Τ.Ε.Α.Δ.Υ. ΕΡΓ.</t>
  </si>
  <si>
    <t>ΕΦΚΑ Τ.Π.Δ.Υ.</t>
  </si>
  <si>
    <t>Ε.Φ.Κ.Α. ΚΥΡ.ΣΥΝ.ΕΡΓ.</t>
  </si>
  <si>
    <t>Ε.Φ.Κ.Α. ΚΥΡ.ΣΥΝ.ΑΣΦ.</t>
  </si>
  <si>
    <t>Ε.Φ.Κ.Α.- ΣΥΝΟΛΟ ΕΡΓΟΔΟΤΗ</t>
  </si>
  <si>
    <t xml:space="preserve">Ε.Φ.Κ.Α.  Ι.Κ.Α.- Ε.Τ.Α.Μ. </t>
  </si>
  <si>
    <t>Τ.Σ.Μ.Ε.Δ.Ε. ΣΥΝΟΛΟ ΕΡΓΟΔΟΤΗ</t>
  </si>
  <si>
    <t>ΤΣΜΕΔΕ ΣΥΝΟΛΟ ΑΣΦ.</t>
  </si>
  <si>
    <t>Ε.Φ.Κ.Α. ΣΥΝΟΛΟ ΑΣΦ.</t>
  </si>
  <si>
    <t>ΜΙΣΘΟΔΟΣΙΑ ΜΟΝΙΜΩΝ ΕΚΠΑΙΔΕΥΤΙΚΩΝ Π.Μ.</t>
  </si>
  <si>
    <t>ΜΙΣΘΟΔΟΣΙΑ ΜΟΝΙΜΩΝ ΕΚΠΑΙΔΕΥΤΙΚΩΝ</t>
  </si>
  <si>
    <t>ΕΦΚΑ Ι.Κ.Α. ΕΡΓΟΔΟΤΗ</t>
  </si>
  <si>
    <t>ΕΦΚΑ Ι.Κ.Α. ΑΣΦΑΛΙΣΜ.</t>
  </si>
  <si>
    <t>ΕΦΚΑ Ι.Κ.Α. ΣΥΝΟΛΟ</t>
  </si>
  <si>
    <t>.</t>
  </si>
  <si>
    <t>ΣΥΜΒΟΥΛΟΙ</t>
  </si>
  <si>
    <t>ΕΚΠΑΙΔΕΥΣΗΣ</t>
  </si>
  <si>
    <t>ΕΠΟΠΤΕΣ</t>
  </si>
  <si>
    <t>Σ.Δ.Ε.</t>
  </si>
  <si>
    <t>ΛΥΚΕΙΟΥ</t>
  </si>
  <si>
    <t>Δ.Ι.Ε.Κ.</t>
  </si>
  <si>
    <t>Κ.Ε.ΠΕ.Α.</t>
  </si>
  <si>
    <t>ΚΕ.Δ.Α.Σ.Υ.</t>
  </si>
  <si>
    <t>Σ.Μ.Ε.Α.Ε.</t>
  </si>
  <si>
    <t>Α  Ν  Α  Λ  Υ  Σ  Η    Τ  Η  Σ    Μ  Ι  Σ  Θ  Ο  Δ  Ο  Σ  Ι  Α  Σ    2  0  2  1</t>
  </si>
</sst>
</file>

<file path=xl/styles.xml><?xml version="1.0" encoding="utf-8"?>
<styleSheet xmlns="http://schemas.openxmlformats.org/spreadsheetml/2006/main">
  <numFmts count="2">
    <numFmt numFmtId="174" formatCode="0.0"/>
    <numFmt numFmtId="185" formatCode="\ ##\ \-\ ##"/>
  </numFmts>
  <fonts count="56">
    <font>
      <sz val="10"/>
      <name val="Arial Greek"/>
      <charset val="161"/>
    </font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26"/>
      <name val="Arial Greek"/>
      <family val="2"/>
      <charset val="161"/>
    </font>
    <font>
      <sz val="10"/>
      <name val="Arial Greek"/>
      <family val="2"/>
      <charset val="161"/>
    </font>
    <font>
      <b/>
      <sz val="8"/>
      <color indexed="81"/>
      <name val="Tahoma"/>
      <family val="2"/>
      <charset val="161"/>
    </font>
    <font>
      <sz val="8"/>
      <color indexed="81"/>
      <name val="Tahoma"/>
      <family val="2"/>
      <charset val="161"/>
    </font>
    <font>
      <b/>
      <sz val="22"/>
      <name val="Arial Greek"/>
      <family val="2"/>
      <charset val="161"/>
    </font>
    <font>
      <b/>
      <sz val="18"/>
      <name val="Arial Greek"/>
      <family val="2"/>
      <charset val="161"/>
    </font>
    <font>
      <sz val="8"/>
      <color indexed="81"/>
      <name val="Tahoma"/>
      <family val="2"/>
    </font>
    <font>
      <b/>
      <sz val="24"/>
      <name val="Arial Greek"/>
      <family val="2"/>
      <charset val="161"/>
    </font>
    <font>
      <sz val="16"/>
      <name val="Arial Greek"/>
      <family val="2"/>
      <charset val="161"/>
    </font>
    <font>
      <b/>
      <sz val="16"/>
      <name val="Arial Greek"/>
      <family val="2"/>
      <charset val="161"/>
    </font>
    <font>
      <b/>
      <sz val="8"/>
      <color indexed="81"/>
      <name val="Tahoma"/>
      <family val="2"/>
    </font>
    <font>
      <sz val="10"/>
      <color indexed="8"/>
      <name val="Arial Greek"/>
      <family val="2"/>
      <charset val="161"/>
    </font>
    <font>
      <b/>
      <sz val="10"/>
      <name val="Arial Greek"/>
      <charset val="161"/>
    </font>
    <font>
      <b/>
      <sz val="26"/>
      <name val="Arial Greek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b/>
      <sz val="8"/>
      <color indexed="81"/>
      <name val="Tahoma"/>
      <family val="2"/>
      <charset val="161"/>
    </font>
    <font>
      <sz val="8"/>
      <color indexed="81"/>
      <name val="Tahoma"/>
      <family val="2"/>
      <charset val="161"/>
    </font>
    <font>
      <b/>
      <u/>
      <sz val="10"/>
      <color indexed="10"/>
      <name val="Arial Greek"/>
      <charset val="161"/>
    </font>
    <font>
      <b/>
      <sz val="10"/>
      <color indexed="10"/>
      <name val="Arial Greek"/>
      <charset val="161"/>
    </font>
    <font>
      <b/>
      <u/>
      <sz val="12"/>
      <color indexed="10"/>
      <name val="Arial Greek"/>
      <charset val="161"/>
    </font>
    <font>
      <b/>
      <sz val="11"/>
      <name val="Arial Greek"/>
      <family val="2"/>
      <charset val="161"/>
    </font>
    <font>
      <b/>
      <sz val="13"/>
      <name val="Arial Greek"/>
      <charset val="161"/>
    </font>
    <font>
      <sz val="14"/>
      <name val="Arial Greek"/>
      <charset val="161"/>
    </font>
    <font>
      <sz val="10"/>
      <name val="Arial Greek"/>
      <charset val="161"/>
    </font>
    <font>
      <sz val="8"/>
      <name val="Arial Greek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sz val="11"/>
      <color indexed="8"/>
      <name val="Arial Greek"/>
      <charset val="161"/>
    </font>
    <font>
      <b/>
      <sz val="10"/>
      <color indexed="8"/>
      <name val="Arial Greek"/>
      <charset val="161"/>
    </font>
    <font>
      <sz val="11"/>
      <name val="Arial Greek"/>
      <charset val="161"/>
    </font>
    <font>
      <sz val="8"/>
      <color indexed="81"/>
      <name val="Arial"/>
      <family val="2"/>
      <charset val="161"/>
    </font>
    <font>
      <b/>
      <sz val="10"/>
      <name val="Arial"/>
      <family val="2"/>
      <charset val="161"/>
    </font>
    <font>
      <sz val="10"/>
      <color indexed="8"/>
      <name val="Arial Greek"/>
      <charset val="161"/>
    </font>
    <font>
      <b/>
      <sz val="19"/>
      <name val="Arial Greek"/>
      <family val="2"/>
      <charset val="161"/>
    </font>
    <font>
      <sz val="10"/>
      <color indexed="12"/>
      <name val="Arial Greek"/>
      <charset val="161"/>
    </font>
    <font>
      <b/>
      <u/>
      <sz val="12"/>
      <color indexed="12"/>
      <name val="Arial Greek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sz val="11"/>
      <name val="Arial"/>
      <family val="2"/>
      <charset val="161"/>
    </font>
    <font>
      <b/>
      <sz val="13"/>
      <color indexed="8"/>
      <name val="Arial"/>
      <family val="2"/>
      <charset val="161"/>
    </font>
    <font>
      <b/>
      <sz val="17"/>
      <color indexed="8"/>
      <name val="Arial"/>
      <family val="2"/>
      <charset val="161"/>
    </font>
    <font>
      <b/>
      <sz val="17"/>
      <name val="Arial"/>
      <family val="2"/>
      <charset val="161"/>
    </font>
    <font>
      <b/>
      <sz val="9"/>
      <name val="Arial Greek"/>
      <family val="2"/>
      <charset val="161"/>
    </font>
    <font>
      <b/>
      <sz val="14"/>
      <name val="Arial Greek"/>
      <charset val="161"/>
    </font>
    <font>
      <b/>
      <sz val="13.5"/>
      <name val="Arial Greek"/>
      <charset val="161"/>
    </font>
    <font>
      <b/>
      <sz val="10"/>
      <color indexed="10"/>
      <name val="Arial Greek"/>
      <family val="2"/>
      <charset val="161"/>
    </font>
    <font>
      <b/>
      <sz val="17"/>
      <name val="Arial Greek"/>
      <charset val="161"/>
    </font>
    <font>
      <sz val="11"/>
      <color indexed="8"/>
      <name val="Arial Greek"/>
      <charset val="161"/>
    </font>
    <font>
      <b/>
      <u/>
      <sz val="8"/>
      <color indexed="81"/>
      <name val="Tahoma"/>
      <family val="2"/>
      <charset val="161"/>
    </font>
    <font>
      <b/>
      <sz val="8"/>
      <name val="Arial Greek"/>
      <family val="2"/>
      <charset val="161"/>
    </font>
    <font>
      <b/>
      <sz val="7"/>
      <name val="Arial Greek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5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/>
    <xf numFmtId="0" fontId="0" fillId="0" borderId="1" xfId="0" applyBorder="1" applyAlignment="1"/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2" fontId="2" fillId="0" borderId="1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90"/>
    </xf>
    <xf numFmtId="0" fontId="0" fillId="0" borderId="0" xfId="0" applyBorder="1" applyAlignment="1"/>
    <xf numFmtId="2" fontId="4" fillId="0" borderId="0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49" fontId="31" fillId="2" borderId="7" xfId="0" applyNumberFormat="1" applyFont="1" applyFill="1" applyBorder="1" applyAlignment="1">
      <alignment horizontal="center" vertical="center"/>
    </xf>
    <xf numFmtId="49" fontId="31" fillId="3" borderId="7" xfId="0" applyNumberFormat="1" applyFont="1" applyFill="1" applyBorder="1" applyAlignment="1">
      <alignment horizontal="center" vertical="center"/>
    </xf>
    <xf numFmtId="2" fontId="32" fillId="2" borderId="8" xfId="0" applyNumberFormat="1" applyFont="1" applyFill="1" applyBorder="1" applyAlignment="1">
      <alignment horizontal="center" vertical="center"/>
    </xf>
    <xf numFmtId="2" fontId="32" fillId="3" borderId="8" xfId="0" applyNumberFormat="1" applyFont="1" applyFill="1" applyBorder="1" applyAlignment="1">
      <alignment horizontal="center" vertical="center"/>
    </xf>
    <xf numFmtId="2" fontId="32" fillId="4" borderId="8" xfId="0" applyNumberFormat="1" applyFont="1" applyFill="1" applyBorder="1" applyAlignment="1">
      <alignment horizontal="center" vertical="center"/>
    </xf>
    <xf numFmtId="2" fontId="32" fillId="5" borderId="8" xfId="0" applyNumberFormat="1" applyFont="1" applyFill="1" applyBorder="1" applyAlignment="1">
      <alignment horizontal="center" vertical="center"/>
    </xf>
    <xf numFmtId="2" fontId="32" fillId="2" borderId="9" xfId="0" applyNumberFormat="1" applyFont="1" applyFill="1" applyBorder="1" applyAlignment="1">
      <alignment horizontal="center" vertical="center"/>
    </xf>
    <xf numFmtId="49" fontId="31" fillId="2" borderId="10" xfId="0" applyNumberFormat="1" applyFont="1" applyFill="1" applyBorder="1" applyAlignment="1">
      <alignment horizontal="center" vertical="center"/>
    </xf>
    <xf numFmtId="49" fontId="31" fillId="3" borderId="10" xfId="0" applyNumberFormat="1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2" fontId="32" fillId="3" borderId="9" xfId="0" applyNumberFormat="1" applyFont="1" applyFill="1" applyBorder="1" applyAlignment="1">
      <alignment horizontal="center" vertical="center"/>
    </xf>
    <xf numFmtId="2" fontId="32" fillId="5" borderId="9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2" fontId="32" fillId="4" borderId="9" xfId="0" applyNumberFormat="1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center" vertical="center"/>
    </xf>
    <xf numFmtId="49" fontId="31" fillId="6" borderId="11" xfId="0" applyNumberFormat="1" applyFont="1" applyFill="1" applyBorder="1" applyAlignment="1">
      <alignment horizontal="center" vertical="center"/>
    </xf>
    <xf numFmtId="0" fontId="31" fillId="6" borderId="12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2" fontId="32" fillId="6" borderId="13" xfId="0" applyNumberFormat="1" applyFont="1" applyFill="1" applyBorder="1" applyAlignment="1">
      <alignment horizontal="center" vertical="center"/>
    </xf>
    <xf numFmtId="2" fontId="32" fillId="6" borderId="8" xfId="0" applyNumberFormat="1" applyFont="1" applyFill="1" applyBorder="1" applyAlignment="1">
      <alignment horizontal="center" vertical="center"/>
    </xf>
    <xf numFmtId="2" fontId="32" fillId="6" borderId="9" xfId="0" applyNumberFormat="1" applyFont="1" applyFill="1" applyBorder="1" applyAlignment="1">
      <alignment horizontal="center" vertical="center"/>
    </xf>
    <xf numFmtId="2" fontId="32" fillId="6" borderId="5" xfId="0" applyNumberFormat="1" applyFont="1" applyFill="1" applyBorder="1" applyAlignment="1">
      <alignment horizontal="center" vertical="center"/>
    </xf>
    <xf numFmtId="2" fontId="32" fillId="6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31" fillId="2" borderId="16" xfId="0" applyNumberFormat="1" applyFont="1" applyFill="1" applyBorder="1" applyAlignment="1">
      <alignment horizontal="center" vertical="center"/>
    </xf>
    <xf numFmtId="49" fontId="31" fillId="2" borderId="17" xfId="0" applyNumberFormat="1" applyFont="1" applyFill="1" applyBorder="1" applyAlignment="1">
      <alignment horizontal="center" vertical="center"/>
    </xf>
    <xf numFmtId="49" fontId="31" fillId="6" borderId="18" xfId="0" applyNumberFormat="1" applyFont="1" applyFill="1" applyBorder="1" applyAlignment="1">
      <alignment horizontal="center" vertical="center"/>
    </xf>
    <xf numFmtId="49" fontId="31" fillId="2" borderId="6" xfId="0" applyNumberFormat="1" applyFont="1" applyFill="1" applyBorder="1" applyAlignment="1">
      <alignment horizontal="center" vertical="center"/>
    </xf>
    <xf numFmtId="49" fontId="31" fillId="2" borderId="1" xfId="0" applyNumberFormat="1" applyFont="1" applyFill="1" applyBorder="1" applyAlignment="1">
      <alignment horizontal="center" vertical="center"/>
    </xf>
    <xf numFmtId="49" fontId="31" fillId="6" borderId="12" xfId="0" applyNumberFormat="1" applyFont="1" applyFill="1" applyBorder="1" applyAlignment="1">
      <alignment horizontal="center" vertical="center"/>
    </xf>
    <xf numFmtId="49" fontId="31" fillId="3" borderId="6" xfId="0" applyNumberFormat="1" applyFont="1" applyFill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center" vertical="center"/>
    </xf>
    <xf numFmtId="49" fontId="31" fillId="6" borderId="1" xfId="0" applyNumberFormat="1" applyFont="1" applyFill="1" applyBorder="1" applyAlignment="1">
      <alignment horizontal="center" vertical="center"/>
    </xf>
    <xf numFmtId="49" fontId="31" fillId="6" borderId="6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31" fillId="3" borderId="16" xfId="0" applyNumberFormat="1" applyFont="1" applyFill="1" applyBorder="1" applyAlignment="1">
      <alignment horizontal="center" vertical="center"/>
    </xf>
    <xf numFmtId="49" fontId="31" fillId="3" borderId="17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9" fontId="31" fillId="4" borderId="10" xfId="0" applyNumberFormat="1" applyFont="1" applyFill="1" applyBorder="1" applyAlignment="1">
      <alignment horizontal="center" vertical="center"/>
    </xf>
    <xf numFmtId="49" fontId="31" fillId="4" borderId="7" xfId="0" applyNumberFormat="1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center" vertical="center"/>
    </xf>
    <xf numFmtId="49" fontId="31" fillId="5" borderId="10" xfId="0" applyNumberFormat="1" applyFont="1" applyFill="1" applyBorder="1" applyAlignment="1">
      <alignment horizontal="center" vertical="center"/>
    </xf>
    <xf numFmtId="49" fontId="31" fillId="5" borderId="7" xfId="0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9" fontId="31" fillId="4" borderId="16" xfId="0" applyNumberFormat="1" applyFont="1" applyFill="1" applyBorder="1" applyAlignment="1">
      <alignment horizontal="center" vertical="center"/>
    </xf>
    <xf numFmtId="49" fontId="31" fillId="4" borderId="1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174" fontId="0" fillId="0" borderId="1" xfId="0" applyNumberForma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5" fontId="31" fillId="7" borderId="21" xfId="0" applyNumberFormat="1" applyFont="1" applyFill="1" applyBorder="1" applyAlignment="1">
      <alignment horizontal="center" vertical="center"/>
    </xf>
    <xf numFmtId="49" fontId="31" fillId="7" borderId="22" xfId="0" applyNumberFormat="1" applyFont="1" applyFill="1" applyBorder="1" applyAlignment="1">
      <alignment horizontal="center" vertical="center"/>
    </xf>
    <xf numFmtId="2" fontId="32" fillId="7" borderId="23" xfId="0" applyNumberFormat="1" applyFont="1" applyFill="1" applyBorder="1" applyAlignment="1">
      <alignment horizontal="center" vertical="center"/>
    </xf>
    <xf numFmtId="49" fontId="31" fillId="7" borderId="21" xfId="0" applyNumberFormat="1" applyFont="1" applyFill="1" applyBorder="1" applyAlignment="1">
      <alignment horizontal="center" vertical="center"/>
    </xf>
    <xf numFmtId="0" fontId="31" fillId="7" borderId="22" xfId="0" applyFont="1" applyFill="1" applyBorder="1" applyAlignment="1">
      <alignment horizontal="center" vertical="center"/>
    </xf>
    <xf numFmtId="2" fontId="32" fillId="7" borderId="2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2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1" xfId="0" applyFont="1" applyBorder="1"/>
    <xf numFmtId="0" fontId="2" fillId="0" borderId="1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2" fontId="36" fillId="0" borderId="1" xfId="0" applyNumberFormat="1" applyFont="1" applyBorder="1" applyAlignment="1">
      <alignment horizontal="center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2" fontId="36" fillId="0" borderId="1" xfId="0" applyNumberFormat="1" applyFont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shrinkToFit="1"/>
    </xf>
    <xf numFmtId="2" fontId="40" fillId="6" borderId="1" xfId="0" applyNumberFormat="1" applyFont="1" applyFill="1" applyBorder="1" applyAlignment="1">
      <alignment horizontal="center" vertical="center" shrinkToFit="1"/>
    </xf>
    <xf numFmtId="0" fontId="42" fillId="6" borderId="1" xfId="0" applyFont="1" applyFill="1" applyBorder="1" applyAlignment="1">
      <alignment horizontal="center" vertical="center" shrinkToFit="1"/>
    </xf>
    <xf numFmtId="0" fontId="41" fillId="6" borderId="1" xfId="0" applyFont="1" applyFill="1" applyBorder="1" applyAlignment="1">
      <alignment horizontal="center" vertical="center" shrinkToFit="1"/>
    </xf>
    <xf numFmtId="2" fontId="41" fillId="6" borderId="1" xfId="0" applyNumberFormat="1" applyFont="1" applyFill="1" applyBorder="1" applyAlignment="1">
      <alignment horizontal="center" vertical="center" shrinkToFit="1"/>
    </xf>
    <xf numFmtId="2" fontId="47" fillId="0" borderId="1" xfId="0" applyNumberFormat="1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2" fontId="4" fillId="0" borderId="14" xfId="0" applyNumberFormat="1" applyFon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/>
    <xf numFmtId="2" fontId="32" fillId="6" borderId="27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31" fillId="8" borderId="29" xfId="0" applyFont="1" applyFill="1" applyBorder="1" applyAlignment="1">
      <alignment horizontal="center" vertical="center" shrinkToFit="1"/>
    </xf>
    <xf numFmtId="49" fontId="31" fillId="8" borderId="20" xfId="0" applyNumberFormat="1" applyFont="1" applyFill="1" applyBorder="1" applyAlignment="1">
      <alignment horizontal="center" vertical="center" shrinkToFit="1"/>
    </xf>
    <xf numFmtId="49" fontId="31" fillId="8" borderId="28" xfId="0" applyNumberFormat="1" applyFont="1" applyFill="1" applyBorder="1" applyAlignment="1">
      <alignment horizontal="center" vertical="center" shrinkToFit="1"/>
    </xf>
    <xf numFmtId="0" fontId="31" fillId="8" borderId="20" xfId="0" applyFont="1" applyFill="1" applyBorder="1" applyAlignment="1">
      <alignment horizontal="center" vertical="center" shrinkToFit="1"/>
    </xf>
    <xf numFmtId="0" fontId="31" fillId="8" borderId="5" xfId="0" applyFont="1" applyFill="1" applyBorder="1" applyAlignment="1">
      <alignment horizontal="center" vertical="center" shrinkToFit="1"/>
    </xf>
    <xf numFmtId="49" fontId="31" fillId="8" borderId="30" xfId="0" applyNumberFormat="1" applyFont="1" applyFill="1" applyBorder="1" applyAlignment="1">
      <alignment horizontal="center" vertical="center" shrinkToFit="1"/>
    </xf>
    <xf numFmtId="0" fontId="31" fillId="8" borderId="28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/>
    </xf>
    <xf numFmtId="0" fontId="0" fillId="0" borderId="1" xfId="0" applyFont="1" applyBorder="1"/>
    <xf numFmtId="2" fontId="27" fillId="0" borderId="1" xfId="0" applyNumberFormat="1" applyFont="1" applyBorder="1" applyAlignment="1">
      <alignment horizontal="center"/>
    </xf>
    <xf numFmtId="2" fontId="54" fillId="0" borderId="1" xfId="0" applyNumberFormat="1" applyFont="1" applyBorder="1" applyAlignment="1">
      <alignment horizontal="center" vertical="center" shrinkToFit="1"/>
    </xf>
    <xf numFmtId="2" fontId="5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4" xfId="0" applyBorder="1" applyAlignment="1">
      <alignment horizontal="center" vertical="center" textRotation="90"/>
    </xf>
    <xf numFmtId="0" fontId="2" fillId="0" borderId="1" xfId="0" applyFont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9" fontId="24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49" fontId="15" fillId="6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49" fontId="31" fillId="6" borderId="1" xfId="0" applyNumberFormat="1" applyFont="1" applyFill="1" applyBorder="1" applyAlignment="1" applyProtection="1">
      <alignment horizontal="center" vertical="center"/>
      <protection locked="0"/>
    </xf>
    <xf numFmtId="2" fontId="36" fillId="6" borderId="1" xfId="0" applyNumberFormat="1" applyFont="1" applyFill="1" applyBorder="1" applyAlignment="1" applyProtection="1">
      <alignment horizontal="center" vertical="center"/>
      <protection locked="0"/>
    </xf>
    <xf numFmtId="2" fontId="32" fillId="6" borderId="1" xfId="0" applyNumberFormat="1" applyFont="1" applyFill="1" applyBorder="1" applyAlignment="1" applyProtection="1">
      <alignment horizontal="center" vertical="center"/>
      <protection locked="0"/>
    </xf>
    <xf numFmtId="49" fontId="17" fillId="6" borderId="1" xfId="0" applyNumberFormat="1" applyFont="1" applyFill="1" applyBorder="1" applyAlignment="1" applyProtection="1">
      <alignment horizontal="center" vertical="center"/>
      <protection locked="0"/>
    </xf>
    <xf numFmtId="49" fontId="52" fillId="6" borderId="1" xfId="0" applyNumberFormat="1" applyFont="1" applyFill="1" applyBorder="1" applyAlignment="1" applyProtection="1">
      <alignment horizontal="center" vertical="center"/>
      <protection locked="0"/>
    </xf>
    <xf numFmtId="49" fontId="0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2" fontId="47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2" fillId="0" borderId="2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0" xfId="0" applyNumberFormat="1" applyFont="1" applyBorder="1" applyAlignment="1">
      <alignment horizontal="center"/>
    </xf>
    <xf numFmtId="2" fontId="42" fillId="6" borderId="1" xfId="0" applyNumberFormat="1" applyFont="1" applyFill="1" applyBorder="1" applyAlignment="1">
      <alignment horizontal="center" vertical="center" wrapText="1"/>
    </xf>
    <xf numFmtId="2" fontId="4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vertical="center"/>
    </xf>
    <xf numFmtId="2" fontId="0" fillId="0" borderId="0" xfId="0" applyNumberFormat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0" fillId="0" borderId="0" xfId="0" applyFont="1" applyBorder="1"/>
    <xf numFmtId="2" fontId="27" fillId="0" borderId="0" xfId="2" applyNumberFormat="1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2" fontId="35" fillId="0" borderId="1" xfId="0" applyNumberFormat="1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2" fontId="2" fillId="0" borderId="2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2" fontId="0" fillId="6" borderId="1" xfId="0" applyNumberFormat="1" applyFill="1" applyBorder="1" applyAlignment="1">
      <alignment horizontal="center" vertical="center"/>
    </xf>
    <xf numFmtId="0" fontId="0" fillId="0" borderId="1" xfId="0" applyBorder="1" applyAlignment="1"/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48" fillId="0" borderId="32" xfId="0" applyFont="1" applyBorder="1" applyAlignment="1">
      <alignment horizontal="center" vertical="center" wrapText="1" shrinkToFit="1"/>
    </xf>
    <xf numFmtId="0" fontId="26" fillId="0" borderId="20" xfId="0" applyFont="1" applyBorder="1" applyAlignment="1">
      <alignment horizontal="center" vertical="center" wrapText="1" shrinkToFit="1"/>
    </xf>
    <xf numFmtId="2" fontId="0" fillId="0" borderId="1" xfId="0" applyNumberFormat="1" applyBorder="1" applyAlignment="1">
      <alignment horizontal="left" vertical="center"/>
    </xf>
    <xf numFmtId="17" fontId="12" fillId="0" borderId="1" xfId="0" applyNumberFormat="1" applyFont="1" applyBorder="1" applyAlignment="1">
      <alignment horizontal="left" vertical="center" shrinkToFit="1"/>
    </xf>
    <xf numFmtId="0" fontId="12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2" fontId="4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textRotation="90"/>
    </xf>
    <xf numFmtId="0" fontId="17" fillId="0" borderId="31" xfId="0" applyFont="1" applyBorder="1" applyAlignment="1">
      <alignment horizontal="center" vertical="center" textRotation="90"/>
    </xf>
    <xf numFmtId="0" fontId="0" fillId="0" borderId="31" xfId="0" applyBorder="1" applyAlignment="1"/>
    <xf numFmtId="0" fontId="0" fillId="0" borderId="17" xfId="0" applyBorder="1" applyAlignment="1"/>
    <xf numFmtId="0" fontId="25" fillId="0" borderId="20" xfId="0" applyFont="1" applyBorder="1" applyAlignment="1">
      <alignment horizontal="center" vertical="center" wrapText="1" shrinkToFit="1"/>
    </xf>
    <xf numFmtId="0" fontId="25" fillId="0" borderId="20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 shrinkToFit="1"/>
    </xf>
    <xf numFmtId="0" fontId="48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2" fontId="14" fillId="0" borderId="1" xfId="0" applyNumberFormat="1" applyFont="1" applyBorder="1" applyAlignment="1">
      <alignment horizontal="left" vertical="center"/>
    </xf>
    <xf numFmtId="2" fontId="2" fillId="0" borderId="2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31" fillId="2" borderId="6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17" fillId="0" borderId="10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/>
    <xf numFmtId="0" fontId="0" fillId="0" borderId="11" xfId="0" applyBorder="1" applyAlignment="1"/>
    <xf numFmtId="49" fontId="17" fillId="10" borderId="6" xfId="0" applyNumberFormat="1" applyFont="1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0" fontId="0" fillId="0" borderId="12" xfId="0" applyBorder="1" applyAlignment="1"/>
    <xf numFmtId="49" fontId="31" fillId="5" borderId="35" xfId="0" applyNumberFormat="1" applyFont="1" applyFill="1" applyBorder="1" applyAlignment="1">
      <alignment horizontal="center" vertical="center"/>
    </xf>
    <xf numFmtId="49" fontId="17" fillId="5" borderId="32" xfId="0" applyNumberFormat="1" applyFont="1" applyFill="1" applyBorder="1" applyAlignment="1">
      <alignment horizontal="center" vertical="center"/>
    </xf>
    <xf numFmtId="49" fontId="0" fillId="0" borderId="32" xfId="0" applyNumberFormat="1" applyBorder="1" applyAlignment="1">
      <alignment vertical="center"/>
    </xf>
    <xf numFmtId="49" fontId="0" fillId="0" borderId="36" xfId="0" applyNumberFormat="1" applyBorder="1" applyAlignment="1">
      <alignment vertical="center"/>
    </xf>
    <xf numFmtId="49" fontId="31" fillId="6" borderId="7" xfId="0" applyNumberFormat="1" applyFont="1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31" fillId="3" borderId="6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17" fillId="0" borderId="14" xfId="0" applyFont="1" applyBorder="1" applyAlignment="1">
      <alignment horizontal="center" textRotation="90"/>
    </xf>
    <xf numFmtId="49" fontId="31" fillId="4" borderId="6" xfId="0" applyNumberFormat="1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vertical="center"/>
    </xf>
    <xf numFmtId="49" fontId="0" fillId="4" borderId="1" xfId="0" applyNumberFormat="1" applyFill="1" applyBorder="1" applyAlignment="1">
      <alignment vertical="center"/>
    </xf>
    <xf numFmtId="49" fontId="0" fillId="4" borderId="12" xfId="0" applyNumberFormat="1" applyFill="1" applyBorder="1" applyAlignment="1">
      <alignment vertical="center"/>
    </xf>
    <xf numFmtId="49" fontId="31" fillId="6" borderId="17" xfId="0" applyNumberFormat="1" applyFont="1" applyFill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31" fillId="6" borderId="16" xfId="0" applyNumberFormat="1" applyFon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49" fontId="17" fillId="6" borderId="10" xfId="0" applyNumberFormat="1" applyFont="1" applyFill="1" applyBorder="1" applyAlignment="1">
      <alignment horizontal="center" vertical="center"/>
    </xf>
    <xf numFmtId="49" fontId="17" fillId="0" borderId="7" xfId="0" applyNumberFormat="1" applyFont="1" applyBorder="1" applyAlignment="1">
      <alignment vertical="center"/>
    </xf>
    <xf numFmtId="49" fontId="17" fillId="0" borderId="11" xfId="0" applyNumberFormat="1" applyFont="1" applyBorder="1" applyAlignment="1">
      <alignment vertical="center"/>
    </xf>
    <xf numFmtId="0" fontId="3" fillId="9" borderId="33" xfId="0" applyFont="1" applyFill="1" applyBorder="1" applyAlignment="1">
      <alignment horizontal="center" vertical="center"/>
    </xf>
    <xf numFmtId="0" fontId="0" fillId="9" borderId="33" xfId="0" applyFill="1" applyBorder="1" applyAlignment="1">
      <alignment vertical="center"/>
    </xf>
    <xf numFmtId="0" fontId="0" fillId="9" borderId="34" xfId="0" applyFill="1" applyBorder="1" applyAlignment="1">
      <alignment vertical="center"/>
    </xf>
    <xf numFmtId="49" fontId="33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49" fontId="0" fillId="6" borderId="17" xfId="0" applyNumberFormat="1" applyFill="1" applyBorder="1" applyAlignment="1">
      <alignment horizontal="center" vertical="center"/>
    </xf>
    <xf numFmtId="49" fontId="0" fillId="6" borderId="18" xfId="0" applyNumberFormat="1" applyFill="1" applyBorder="1" applyAlignment="1">
      <alignment horizontal="center" vertical="center"/>
    </xf>
    <xf numFmtId="49" fontId="0" fillId="6" borderId="7" xfId="0" applyNumberFormat="1" applyFill="1" applyBorder="1" applyAlignment="1">
      <alignment horizontal="center" vertical="center"/>
    </xf>
    <xf numFmtId="49" fontId="0" fillId="6" borderId="11" xfId="0" applyNumberFormat="1" applyFill="1" applyBorder="1" applyAlignment="1">
      <alignment horizontal="center" vertical="center"/>
    </xf>
    <xf numFmtId="49" fontId="31" fillId="5" borderId="6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44" fillId="6" borderId="1" xfId="0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2" fontId="3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/>
    </xf>
    <xf numFmtId="2" fontId="41" fillId="6" borderId="1" xfId="0" applyNumberFormat="1" applyFont="1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 shrinkToFit="1"/>
    </xf>
    <xf numFmtId="0" fontId="25" fillId="0" borderId="1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7" xfId="0" applyBorder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3">
    <cellStyle name="Βασικό_Φύλλο1" xfId="1"/>
    <cellStyle name="Κανονικό" xfId="0" builtinId="0"/>
    <cellStyle name="Ποσοστ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ika.gr/images/clear.gif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www.ika.gr/images/clear.gif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www.ika.gr/images/clear.gif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www.ika.gr/images/clear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3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3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3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3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3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4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4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4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4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4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4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4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4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4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4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5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5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5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5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5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5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5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5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5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5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6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6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6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6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6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6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6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6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6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6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7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7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7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7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7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7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7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7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7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7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8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8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8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8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8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8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8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8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8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8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9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9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9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9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709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4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4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4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4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4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4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4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5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5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5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5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5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5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5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5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5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5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6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6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6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6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6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6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6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6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6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6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7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7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7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7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7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7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7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7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7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7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8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8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8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8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8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8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8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8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8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8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9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9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9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9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9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9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9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9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9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39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0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0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0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0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0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0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0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0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0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0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1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1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1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1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1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1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1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1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1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1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2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2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2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2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2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2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2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2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2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2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3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3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3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3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3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3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3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3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3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3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4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4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4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4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4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4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4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4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4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4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5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5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5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5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5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5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5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5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5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5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6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6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6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6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6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6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6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6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6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6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7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7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7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7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7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7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7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7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7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7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8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8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8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8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8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8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8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8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8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8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9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9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9525</xdr:colOff>
      <xdr:row>73</xdr:row>
      <xdr:rowOff>19050</xdr:rowOff>
    </xdr:to>
    <xdr:pic>
      <xdr:nvPicPr>
        <xdr:cNvPr id="16649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73</xdr:row>
      <xdr:rowOff>0</xdr:rowOff>
    </xdr:from>
    <xdr:to>
      <xdr:col>20</xdr:col>
      <xdr:colOff>9525</xdr:colOff>
      <xdr:row>73</xdr:row>
      <xdr:rowOff>19050</xdr:rowOff>
    </xdr:to>
    <xdr:pic>
      <xdr:nvPicPr>
        <xdr:cNvPr id="5902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554700" y="12877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1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2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2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2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2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2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2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2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2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2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2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3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3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3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3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3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3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3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3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3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3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4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4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4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4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4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4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4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4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4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4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5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5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5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5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5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5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5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5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5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5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6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6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6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63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64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65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66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67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68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69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70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71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9525</xdr:colOff>
      <xdr:row>72</xdr:row>
      <xdr:rowOff>19050</xdr:rowOff>
    </xdr:to>
    <xdr:pic>
      <xdr:nvPicPr>
        <xdr:cNvPr id="164572" name="Picture 4" descr="http://www.ika.gr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220325" y="1271587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F716"/>
  <sheetViews>
    <sheetView tabSelected="1" topLeftCell="A49" workbookViewId="0">
      <selection activeCell="B1" sqref="B1:I1"/>
    </sheetView>
  </sheetViews>
  <sheetFormatPr defaultRowHeight="12.75"/>
  <cols>
    <col min="1" max="1" width="3.7109375" style="19" customWidth="1"/>
    <col min="2" max="2" width="3.7109375" customWidth="1"/>
    <col min="3" max="3" width="34.7109375" customWidth="1"/>
    <col min="4" max="9" width="10.7109375" customWidth="1"/>
    <col min="10" max="10" width="15.7109375" style="2" customWidth="1"/>
    <col min="11" max="13" width="15.5703125" style="2" customWidth="1"/>
    <col min="14" max="14" width="15.7109375" style="2" customWidth="1"/>
    <col min="15" max="18" width="15.5703125" style="2" customWidth="1"/>
    <col min="19" max="19" width="15.85546875" style="2" customWidth="1"/>
    <col min="20" max="21" width="15.5703125" style="2" customWidth="1"/>
    <col min="22" max="27" width="15.5703125" customWidth="1"/>
    <col min="28" max="28" width="16.7109375" customWidth="1"/>
    <col min="29" max="31" width="15.5703125" customWidth="1"/>
  </cols>
  <sheetData>
    <row r="1" spans="1:31" ht="28.5" customHeight="1">
      <c r="A1" s="31"/>
      <c r="B1" s="250" t="s">
        <v>269</v>
      </c>
      <c r="C1" s="251"/>
      <c r="D1" s="251"/>
      <c r="E1" s="251"/>
      <c r="F1" s="251"/>
      <c r="G1" s="251"/>
      <c r="H1" s="251"/>
      <c r="I1" s="251"/>
      <c r="J1" s="240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24" customHeight="1">
      <c r="A2" s="22"/>
      <c r="B2" s="252" t="s">
        <v>311</v>
      </c>
      <c r="C2" s="252"/>
      <c r="D2" s="252"/>
      <c r="E2" s="252"/>
      <c r="F2" s="252"/>
      <c r="G2" s="252"/>
      <c r="H2" s="252"/>
      <c r="I2" s="252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4"/>
      <c r="W2" s="244"/>
      <c r="X2" s="244"/>
      <c r="Y2" s="244"/>
      <c r="Z2" s="244"/>
      <c r="AA2" s="244"/>
      <c r="AB2" s="244"/>
      <c r="AC2" s="244"/>
      <c r="AD2" s="244"/>
      <c r="AE2" s="244"/>
    </row>
    <row r="3" spans="1:31" s="18" customFormat="1" ht="24" customHeight="1">
      <c r="A3" s="23"/>
      <c r="B3" s="253" t="s">
        <v>36</v>
      </c>
      <c r="C3" s="253"/>
      <c r="D3" s="253"/>
      <c r="E3" s="253"/>
      <c r="F3" s="253"/>
      <c r="G3" s="253"/>
      <c r="H3" s="253"/>
      <c r="I3" s="253"/>
      <c r="J3" s="245" t="s">
        <v>325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47"/>
    </row>
    <row r="4" spans="1:31" s="14" customFormat="1" ht="12.75" customHeight="1">
      <c r="A4" s="21">
        <v>0</v>
      </c>
      <c r="B4" s="12"/>
      <c r="C4" s="12" t="s">
        <v>38</v>
      </c>
      <c r="D4" s="20" t="s">
        <v>167</v>
      </c>
      <c r="E4" s="12" t="s">
        <v>0</v>
      </c>
      <c r="F4" s="12" t="s">
        <v>1</v>
      </c>
      <c r="G4" s="12" t="s">
        <v>2</v>
      </c>
      <c r="H4" s="12" t="s">
        <v>10</v>
      </c>
      <c r="I4" s="12" t="s">
        <v>11</v>
      </c>
      <c r="J4" s="207" t="s">
        <v>24</v>
      </c>
      <c r="K4" s="190" t="s">
        <v>215</v>
      </c>
      <c r="L4" s="190" t="s">
        <v>237</v>
      </c>
      <c r="M4" s="190" t="s">
        <v>238</v>
      </c>
      <c r="N4" s="190" t="s">
        <v>239</v>
      </c>
      <c r="O4" s="190" t="s">
        <v>240</v>
      </c>
      <c r="P4" s="190" t="s">
        <v>241</v>
      </c>
      <c r="Q4" s="190" t="s">
        <v>242</v>
      </c>
      <c r="R4" s="190" t="s">
        <v>220</v>
      </c>
      <c r="S4" s="190" t="s">
        <v>221</v>
      </c>
      <c r="T4" s="190" t="s">
        <v>216</v>
      </c>
      <c r="U4" s="190" t="s">
        <v>217</v>
      </c>
      <c r="V4" s="190" t="s">
        <v>218</v>
      </c>
      <c r="W4" s="191" t="s">
        <v>219</v>
      </c>
      <c r="X4" s="191"/>
      <c r="Y4" s="191"/>
      <c r="Z4" s="191"/>
      <c r="AA4" s="191"/>
      <c r="AB4" s="191"/>
      <c r="AC4" s="192"/>
      <c r="AD4" s="193"/>
      <c r="AE4" s="193"/>
    </row>
    <row r="5" spans="1:31" s="5" customFormat="1" ht="12.75" customHeight="1">
      <c r="A5" s="257" t="s">
        <v>144</v>
      </c>
      <c r="B5" s="235">
        <f>IF(A23=1,1,0)</f>
        <v>1</v>
      </c>
      <c r="C5" s="82" t="s">
        <v>245</v>
      </c>
      <c r="D5" s="233">
        <v>13</v>
      </c>
      <c r="E5" s="17">
        <f>IF(D5=1,K11,IF(D5=2,L11,IF(D5=3,M11,IF(D5=4,N11,IF(D5=5,O11,IF(D5=6,P11,IF(D5=7,Q11,IF(D5=8,R11,0))))))))*B5*IF(D18=11,1.2,1)</f>
        <v>0</v>
      </c>
      <c r="F5" s="235">
        <v>12</v>
      </c>
      <c r="G5" s="234">
        <f>ROUND((E5+E6+E7)*F5,2)</f>
        <v>21600</v>
      </c>
      <c r="H5" s="234">
        <v>23.72</v>
      </c>
      <c r="I5" s="234">
        <f>ROUND(G5*H5%,2)</f>
        <v>5123.5200000000004</v>
      </c>
      <c r="J5" s="227" t="s">
        <v>100</v>
      </c>
      <c r="K5" s="194">
        <v>1</v>
      </c>
      <c r="L5" s="194">
        <v>2</v>
      </c>
      <c r="M5" s="194">
        <v>3</v>
      </c>
      <c r="N5" s="194">
        <v>4</v>
      </c>
      <c r="O5" s="194">
        <v>5</v>
      </c>
      <c r="P5" s="194">
        <v>6</v>
      </c>
      <c r="Q5" s="194">
        <v>7</v>
      </c>
      <c r="R5" s="194">
        <v>8</v>
      </c>
      <c r="S5" s="194">
        <v>9</v>
      </c>
      <c r="T5" s="194">
        <v>10</v>
      </c>
      <c r="U5" s="194">
        <v>11</v>
      </c>
      <c r="V5" s="194">
        <v>12</v>
      </c>
      <c r="W5" s="192">
        <v>13</v>
      </c>
      <c r="X5" s="192"/>
      <c r="Y5" s="192"/>
      <c r="Z5" s="192"/>
      <c r="AA5" s="192"/>
      <c r="AB5" s="192"/>
      <c r="AC5" s="192"/>
      <c r="AD5" s="195"/>
      <c r="AE5" s="195"/>
    </row>
    <row r="6" spans="1:31" s="5" customFormat="1" ht="12.75" customHeight="1">
      <c r="A6" s="257"/>
      <c r="B6" s="235"/>
      <c r="C6" s="82" t="s">
        <v>246</v>
      </c>
      <c r="D6" s="233"/>
      <c r="E6" s="17">
        <f>IF(D5=9,S11,IF(D5=10,T11,IF(D5=11,U11,IF(D5=12,V11,IF(D5=13,W11,IF(D5=14,X11,IF(D5=15,Y11,IF(D5=16,Z11,0))))))))*B5*IF(D18=11,1.2,1)</f>
        <v>1800</v>
      </c>
      <c r="F6" s="235"/>
      <c r="G6" s="234"/>
      <c r="H6" s="235"/>
      <c r="I6" s="234"/>
      <c r="J6" s="227" t="s">
        <v>101</v>
      </c>
      <c r="K6" s="196">
        <v>780</v>
      </c>
      <c r="L6" s="196">
        <f>ROUND(K6+$K$6*0.0551,0)</f>
        <v>823</v>
      </c>
      <c r="M6" s="196">
        <f t="shared" ref="M6:W6" si="0">ROUND(L6+$K$6*0.0551,0)</f>
        <v>866</v>
      </c>
      <c r="N6" s="196">
        <f t="shared" si="0"/>
        <v>909</v>
      </c>
      <c r="O6" s="196">
        <f t="shared" si="0"/>
        <v>952</v>
      </c>
      <c r="P6" s="196">
        <f t="shared" si="0"/>
        <v>995</v>
      </c>
      <c r="Q6" s="196">
        <f t="shared" si="0"/>
        <v>1038</v>
      </c>
      <c r="R6" s="196">
        <f t="shared" si="0"/>
        <v>1081</v>
      </c>
      <c r="S6" s="196">
        <f t="shared" si="0"/>
        <v>1124</v>
      </c>
      <c r="T6" s="196">
        <f t="shared" si="0"/>
        <v>1167</v>
      </c>
      <c r="U6" s="196">
        <f t="shared" si="0"/>
        <v>1210</v>
      </c>
      <c r="V6" s="196">
        <f t="shared" si="0"/>
        <v>1253</v>
      </c>
      <c r="W6" s="196">
        <f t="shared" si="0"/>
        <v>1296</v>
      </c>
      <c r="X6" s="196"/>
      <c r="Y6" s="196"/>
      <c r="Z6" s="196"/>
      <c r="AA6" s="196"/>
      <c r="AB6" s="196"/>
      <c r="AC6" s="196"/>
      <c r="AD6" s="197"/>
      <c r="AE6" s="197"/>
    </row>
    <row r="7" spans="1:31" s="5" customFormat="1" ht="12.75" customHeight="1">
      <c r="A7" s="257"/>
      <c r="B7" s="235"/>
      <c r="C7" s="82" t="s">
        <v>244</v>
      </c>
      <c r="D7" s="233"/>
      <c r="E7" s="17">
        <f>IF(D5=17,AA11,IF(D5=18,AB11,IF(D5=19,AC11,0)))*B5*IF(D18=11,1.2,1)</f>
        <v>0</v>
      </c>
      <c r="F7" s="235"/>
      <c r="G7" s="234"/>
      <c r="H7" s="235"/>
      <c r="I7" s="234"/>
      <c r="J7" s="227" t="s">
        <v>102</v>
      </c>
      <c r="K7" s="198">
        <f>ROUND(K6*1.1,0)</f>
        <v>858</v>
      </c>
      <c r="L7" s="196">
        <f>ROUND(K7+$K$7*0.0699,0)</f>
        <v>918</v>
      </c>
      <c r="M7" s="196">
        <f t="shared" ref="M7:W7" si="1">ROUND(L7+$K$7*0.0699,0)</f>
        <v>978</v>
      </c>
      <c r="N7" s="196">
        <f t="shared" si="1"/>
        <v>1038</v>
      </c>
      <c r="O7" s="196">
        <f t="shared" si="1"/>
        <v>1098</v>
      </c>
      <c r="P7" s="196">
        <f t="shared" si="1"/>
        <v>1158</v>
      </c>
      <c r="Q7" s="196">
        <f t="shared" si="1"/>
        <v>1218</v>
      </c>
      <c r="R7" s="196">
        <f t="shared" si="1"/>
        <v>1278</v>
      </c>
      <c r="S7" s="196">
        <f t="shared" si="1"/>
        <v>1338</v>
      </c>
      <c r="T7" s="196">
        <f t="shared" si="1"/>
        <v>1398</v>
      </c>
      <c r="U7" s="196">
        <f t="shared" si="1"/>
        <v>1458</v>
      </c>
      <c r="V7" s="196">
        <f t="shared" si="1"/>
        <v>1518</v>
      </c>
      <c r="W7" s="196">
        <f t="shared" si="1"/>
        <v>1578</v>
      </c>
      <c r="X7" s="196"/>
      <c r="Y7" s="196"/>
      <c r="Z7" s="196"/>
      <c r="AA7" s="196"/>
      <c r="AB7" s="196"/>
      <c r="AC7" s="196"/>
      <c r="AD7" s="199"/>
      <c r="AE7" s="199"/>
    </row>
    <row r="8" spans="1:31" ht="12.75" customHeight="1">
      <c r="A8" s="257"/>
      <c r="B8" s="235">
        <f>IF(A23=2,1,0)</f>
        <v>0</v>
      </c>
      <c r="C8" s="82" t="s">
        <v>245</v>
      </c>
      <c r="D8" s="233"/>
      <c r="E8" s="17">
        <f>IF(D5=1,K10,IF(D5=2,L10,IF(D5=3,M10,IF(D5=4,N10,IF(D5=5,O10,IF(D5=6,P10,IF(D5=7,Q10,IF(D5=8,R10,0))))))))*B8*IF(D18=11,1.2,1)</f>
        <v>0</v>
      </c>
      <c r="F8" s="235">
        <v>12</v>
      </c>
      <c r="G8" s="234">
        <f>ROUND((E8+E9+E10)*F8,2)</f>
        <v>0</v>
      </c>
      <c r="H8" s="235"/>
      <c r="I8" s="234">
        <f>ROUND(G8*H5%,2)</f>
        <v>0</v>
      </c>
      <c r="J8" s="227" t="s">
        <v>24</v>
      </c>
      <c r="K8" s="190" t="s">
        <v>126</v>
      </c>
      <c r="L8" s="190" t="s">
        <v>127</v>
      </c>
      <c r="M8" s="190" t="s">
        <v>128</v>
      </c>
      <c r="N8" s="190" t="s">
        <v>130</v>
      </c>
      <c r="O8" s="190" t="s">
        <v>131</v>
      </c>
      <c r="P8" s="190" t="s">
        <v>133</v>
      </c>
      <c r="Q8" s="190" t="s">
        <v>134</v>
      </c>
      <c r="R8" s="190" t="s">
        <v>139</v>
      </c>
      <c r="S8" s="190" t="s">
        <v>141</v>
      </c>
      <c r="T8" s="190" t="s">
        <v>142</v>
      </c>
      <c r="U8" s="190" t="s">
        <v>138</v>
      </c>
      <c r="V8" s="190" t="s">
        <v>229</v>
      </c>
      <c r="W8" s="191" t="s">
        <v>230</v>
      </c>
      <c r="X8" s="191" t="s">
        <v>231</v>
      </c>
      <c r="Y8" s="191" t="s">
        <v>232</v>
      </c>
      <c r="Z8" s="191" t="s">
        <v>233</v>
      </c>
      <c r="AA8" s="191" t="s">
        <v>234</v>
      </c>
      <c r="AB8" s="191" t="s">
        <v>235</v>
      </c>
      <c r="AC8" s="191" t="s">
        <v>236</v>
      </c>
      <c r="AD8" s="200"/>
      <c r="AE8" s="200"/>
    </row>
    <row r="9" spans="1:31" ht="12.75" customHeight="1">
      <c r="A9" s="257"/>
      <c r="B9" s="235"/>
      <c r="C9" s="82" t="s">
        <v>246</v>
      </c>
      <c r="D9" s="233">
        <v>0</v>
      </c>
      <c r="E9" s="17">
        <f>IF(D5=9,S10,IF(D5=10,T10,IF(D5=11,U10,IF(D5=12,V10,IF(D5=13,W10,IF(D5=14,X10,IF(D5=15,Y10,IF(D5=16,Z10,0))))))))*B8*IF(D18=11,1.2,1)</f>
        <v>0</v>
      </c>
      <c r="F9" s="235"/>
      <c r="G9" s="234"/>
      <c r="H9" s="235"/>
      <c r="I9" s="234"/>
      <c r="J9" s="227" t="s">
        <v>100</v>
      </c>
      <c r="K9" s="194">
        <v>1</v>
      </c>
      <c r="L9" s="194">
        <v>2</v>
      </c>
      <c r="M9" s="194">
        <v>3</v>
      </c>
      <c r="N9" s="194">
        <v>4</v>
      </c>
      <c r="O9" s="194">
        <v>5</v>
      </c>
      <c r="P9" s="194">
        <v>6</v>
      </c>
      <c r="Q9" s="194">
        <v>7</v>
      </c>
      <c r="R9" s="194">
        <v>8</v>
      </c>
      <c r="S9" s="194">
        <v>9</v>
      </c>
      <c r="T9" s="194">
        <v>10</v>
      </c>
      <c r="U9" s="194">
        <v>11</v>
      </c>
      <c r="V9" s="194">
        <v>12</v>
      </c>
      <c r="W9" s="192">
        <v>13</v>
      </c>
      <c r="X9" s="192">
        <v>14</v>
      </c>
      <c r="Y9" s="192">
        <v>15</v>
      </c>
      <c r="Z9" s="192">
        <v>16</v>
      </c>
      <c r="AA9" s="192">
        <v>17</v>
      </c>
      <c r="AB9" s="192">
        <v>18</v>
      </c>
      <c r="AC9" s="192">
        <v>19</v>
      </c>
      <c r="AD9" s="195"/>
      <c r="AE9" s="195"/>
    </row>
    <row r="10" spans="1:31" ht="12.75" customHeight="1">
      <c r="A10" s="257"/>
      <c r="B10" s="235"/>
      <c r="C10" s="82" t="s">
        <v>244</v>
      </c>
      <c r="D10" s="249"/>
      <c r="E10" s="17">
        <f>IF(D5=17,AA10,IF(D5=18,AB10,IF(D5=19,AC10,0)))*B8*IF(D18=11,1.2,1)</f>
        <v>0</v>
      </c>
      <c r="F10" s="235"/>
      <c r="G10" s="234"/>
      <c r="H10" s="235"/>
      <c r="I10" s="234"/>
      <c r="J10" s="227" t="s">
        <v>103</v>
      </c>
      <c r="K10" s="198">
        <f>ROUND(K6*1.33,0)</f>
        <v>1037</v>
      </c>
      <c r="L10" s="196">
        <f>ROUND(K10+$K$10*0.053,0)</f>
        <v>1092</v>
      </c>
      <c r="M10" s="196">
        <f t="shared" ref="M10:AC10" si="2">ROUND(L10+$K$10*0.053,0)</f>
        <v>1147</v>
      </c>
      <c r="N10" s="196">
        <f t="shared" si="2"/>
        <v>1202</v>
      </c>
      <c r="O10" s="196">
        <f t="shared" si="2"/>
        <v>1257</v>
      </c>
      <c r="P10" s="196">
        <f t="shared" si="2"/>
        <v>1312</v>
      </c>
      <c r="Q10" s="196">
        <f t="shared" si="2"/>
        <v>1367</v>
      </c>
      <c r="R10" s="196">
        <f t="shared" si="2"/>
        <v>1422</v>
      </c>
      <c r="S10" s="196">
        <f t="shared" si="2"/>
        <v>1477</v>
      </c>
      <c r="T10" s="196">
        <f t="shared" si="2"/>
        <v>1532</v>
      </c>
      <c r="U10" s="196">
        <f t="shared" si="2"/>
        <v>1587</v>
      </c>
      <c r="V10" s="196">
        <f t="shared" si="2"/>
        <v>1642</v>
      </c>
      <c r="W10" s="196">
        <f t="shared" si="2"/>
        <v>1697</v>
      </c>
      <c r="X10" s="196">
        <f t="shared" si="2"/>
        <v>1752</v>
      </c>
      <c r="Y10" s="196">
        <f t="shared" si="2"/>
        <v>1807</v>
      </c>
      <c r="Z10" s="196">
        <f t="shared" si="2"/>
        <v>1862</v>
      </c>
      <c r="AA10" s="196">
        <f t="shared" si="2"/>
        <v>1917</v>
      </c>
      <c r="AB10" s="196">
        <f t="shared" si="2"/>
        <v>1972</v>
      </c>
      <c r="AC10" s="196">
        <f t="shared" si="2"/>
        <v>2027</v>
      </c>
      <c r="AD10" s="196"/>
      <c r="AE10" s="196"/>
    </row>
    <row r="11" spans="1:31" ht="12.75" customHeight="1">
      <c r="A11" s="257"/>
      <c r="B11" s="235">
        <f>IF(A23=3,1,0)</f>
        <v>0</v>
      </c>
      <c r="C11" s="82" t="s">
        <v>245</v>
      </c>
      <c r="D11" s="249"/>
      <c r="E11" s="17">
        <f>IF(D5=1,K7,IF(D5=2,L7,IF(D5=3,M7,IF(D5=4,N7,IF(D5=5,O7,IF(D5=6,P7,IF(D5=7,Q7,IF(D5=8,R7,0))))))))*B11</f>
        <v>0</v>
      </c>
      <c r="F11" s="235">
        <v>12</v>
      </c>
      <c r="G11" s="234">
        <f>ROUND((E11+E12)*F11,2)</f>
        <v>0</v>
      </c>
      <c r="H11" s="235"/>
      <c r="I11" s="234">
        <f>ROUND(G11*H5%,2)</f>
        <v>0</v>
      </c>
      <c r="J11" s="227" t="s">
        <v>104</v>
      </c>
      <c r="K11" s="198">
        <f>ROUND(K6*1.4,0)</f>
        <v>1092</v>
      </c>
      <c r="L11" s="196">
        <f>ROUND(K11+$K$11*0.054,0)</f>
        <v>1151</v>
      </c>
      <c r="M11" s="196">
        <f t="shared" ref="M11:AC11" si="3">ROUND(L11+$K$11*0.054,0)</f>
        <v>1210</v>
      </c>
      <c r="N11" s="196">
        <f t="shared" si="3"/>
        <v>1269</v>
      </c>
      <c r="O11" s="196">
        <f t="shared" si="3"/>
        <v>1328</v>
      </c>
      <c r="P11" s="196">
        <f t="shared" si="3"/>
        <v>1387</v>
      </c>
      <c r="Q11" s="196">
        <f t="shared" si="3"/>
        <v>1446</v>
      </c>
      <c r="R11" s="196">
        <f t="shared" si="3"/>
        <v>1505</v>
      </c>
      <c r="S11" s="196">
        <f t="shared" si="3"/>
        <v>1564</v>
      </c>
      <c r="T11" s="196">
        <f t="shared" si="3"/>
        <v>1623</v>
      </c>
      <c r="U11" s="196">
        <f t="shared" si="3"/>
        <v>1682</v>
      </c>
      <c r="V11" s="196">
        <f t="shared" si="3"/>
        <v>1741</v>
      </c>
      <c r="W11" s="196">
        <f t="shared" si="3"/>
        <v>1800</v>
      </c>
      <c r="X11" s="196">
        <f t="shared" si="3"/>
        <v>1859</v>
      </c>
      <c r="Y11" s="196">
        <f t="shared" si="3"/>
        <v>1918</v>
      </c>
      <c r="Z11" s="196">
        <f t="shared" si="3"/>
        <v>1977</v>
      </c>
      <c r="AA11" s="196">
        <f t="shared" si="3"/>
        <v>2036</v>
      </c>
      <c r="AB11" s="196">
        <f t="shared" si="3"/>
        <v>2095</v>
      </c>
      <c r="AC11" s="196">
        <f t="shared" si="3"/>
        <v>2154</v>
      </c>
      <c r="AD11" s="196"/>
      <c r="AE11" s="196"/>
    </row>
    <row r="12" spans="1:31" ht="12.75" customHeight="1">
      <c r="A12" s="257"/>
      <c r="B12" s="235"/>
      <c r="C12" s="82" t="s">
        <v>247</v>
      </c>
      <c r="D12" s="249"/>
      <c r="E12" s="17">
        <f>IF(D5=9,S7,IF(D5=10,T7,IF(D5=11,U7,IF(D5=12,V7,IF(D5=13,W7,0)))))*B11</f>
        <v>0</v>
      </c>
      <c r="F12" s="235"/>
      <c r="G12" s="234"/>
      <c r="H12" s="235"/>
      <c r="I12" s="234"/>
      <c r="J12" s="228"/>
      <c r="K12" s="201"/>
      <c r="L12" s="201"/>
      <c r="M12" s="201"/>
      <c r="N12" s="201"/>
      <c r="O12" s="201"/>
      <c r="P12" s="201"/>
      <c r="Q12" s="201"/>
      <c r="R12" s="202"/>
      <c r="S12" s="201"/>
      <c r="T12" s="201"/>
      <c r="U12" s="201"/>
      <c r="V12" s="202"/>
      <c r="W12" s="202"/>
      <c r="X12" s="201"/>
      <c r="Y12" s="201"/>
      <c r="Z12" s="201"/>
      <c r="AA12" s="201"/>
      <c r="AB12" s="202"/>
      <c r="AC12" s="202"/>
      <c r="AD12" s="202"/>
      <c r="AE12" s="203"/>
    </row>
    <row r="13" spans="1:31" ht="12.75" customHeight="1">
      <c r="A13" s="257"/>
      <c r="B13" s="235">
        <f>IF(A23=4,1,0)</f>
        <v>0</v>
      </c>
      <c r="C13" s="82" t="s">
        <v>245</v>
      </c>
      <c r="D13" s="233">
        <v>0</v>
      </c>
      <c r="E13" s="17">
        <f>IF(D5=1,K6,IF(D5=2,L6,IF(D5=3,M6,IF(D5=4,N6,IF(D5=5,O6,IF(D5=6,P6,IF(D5=7,Q6,IF(D5=8,R6,0))))))))*B13</f>
        <v>0</v>
      </c>
      <c r="F13" s="235">
        <v>12</v>
      </c>
      <c r="G13" s="248">
        <f>ROUND((E13+E14)*F13,2)</f>
        <v>0</v>
      </c>
      <c r="H13" s="235"/>
      <c r="I13" s="234">
        <f>ROUND(G13*H5%,2)</f>
        <v>0</v>
      </c>
      <c r="J13" s="228"/>
      <c r="K13" s="204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6"/>
      <c r="W13" s="206"/>
      <c r="X13" s="205"/>
      <c r="Y13" s="205"/>
      <c r="Z13" s="205"/>
      <c r="AA13" s="205"/>
      <c r="AB13" s="205"/>
      <c r="AC13" s="205"/>
      <c r="AD13" s="205"/>
      <c r="AE13" s="205"/>
    </row>
    <row r="14" spans="1:31" ht="12.75" customHeight="1">
      <c r="A14" s="257"/>
      <c r="B14" s="235"/>
      <c r="C14" s="82" t="s">
        <v>247</v>
      </c>
      <c r="D14" s="249"/>
      <c r="E14" s="17">
        <f>IF(D5=9,S6,IF(D5=10,T6,IF(D5=11,U6,IF(D5=12,V6,IF(D5=13,W6,0)))))*B13</f>
        <v>0</v>
      </c>
      <c r="F14" s="235"/>
      <c r="G14" s="248"/>
      <c r="H14" s="235"/>
      <c r="I14" s="234"/>
      <c r="J14" s="242" t="s">
        <v>78</v>
      </c>
      <c r="K14" s="237"/>
      <c r="L14" s="208" t="s">
        <v>123</v>
      </c>
      <c r="M14" s="207" t="s">
        <v>159</v>
      </c>
      <c r="N14" s="207" t="s">
        <v>318</v>
      </c>
      <c r="O14" s="207" t="s">
        <v>316</v>
      </c>
      <c r="P14" s="239" t="s">
        <v>283</v>
      </c>
      <c r="Q14" s="239"/>
      <c r="R14" s="239"/>
      <c r="S14" s="239" t="s">
        <v>284</v>
      </c>
      <c r="T14" s="239"/>
      <c r="U14" s="239"/>
      <c r="V14" s="237" t="s">
        <v>286</v>
      </c>
      <c r="W14" s="237"/>
      <c r="X14" s="237"/>
      <c r="Y14" s="237"/>
      <c r="Z14" s="237"/>
      <c r="AA14" s="237" t="s">
        <v>285</v>
      </c>
      <c r="AB14" s="237"/>
      <c r="AC14" s="237"/>
      <c r="AD14" s="237"/>
      <c r="AE14" s="237"/>
    </row>
    <row r="15" spans="1:31" ht="12.75" customHeight="1">
      <c r="A15" s="258"/>
      <c r="B15" s="1"/>
      <c r="C15" s="82" t="s">
        <v>243</v>
      </c>
      <c r="D15" s="249"/>
      <c r="E15" s="134">
        <f>IF(D9=0,0,IF(G32&lt;=0,-G32,0))</f>
        <v>0</v>
      </c>
      <c r="F15" s="3">
        <v>12</v>
      </c>
      <c r="G15" s="17">
        <f>ROUND(E15*F15,2)</f>
        <v>0</v>
      </c>
      <c r="H15" s="17">
        <v>5</v>
      </c>
      <c r="I15" s="17">
        <f>ROUND(G15*H15%,2)</f>
        <v>0</v>
      </c>
      <c r="J15" s="242" t="s">
        <v>41</v>
      </c>
      <c r="K15" s="237"/>
      <c r="L15" s="208" t="s">
        <v>122</v>
      </c>
      <c r="M15" s="207" t="s">
        <v>19</v>
      </c>
      <c r="N15" s="208" t="s">
        <v>317</v>
      </c>
      <c r="O15" s="207" t="s">
        <v>317</v>
      </c>
      <c r="P15" s="207" t="s">
        <v>320</v>
      </c>
      <c r="Q15" s="207" t="s">
        <v>324</v>
      </c>
      <c r="R15" s="207" t="s">
        <v>321</v>
      </c>
      <c r="S15" s="207" t="s">
        <v>320</v>
      </c>
      <c r="T15" s="207" t="s">
        <v>324</v>
      </c>
      <c r="U15" s="207" t="s">
        <v>321</v>
      </c>
      <c r="V15" s="207" t="s">
        <v>15</v>
      </c>
      <c r="W15" s="209" t="s">
        <v>289</v>
      </c>
      <c r="X15" s="209" t="s">
        <v>287</v>
      </c>
      <c r="Y15" s="209" t="s">
        <v>319</v>
      </c>
      <c r="Z15" s="209" t="s">
        <v>145</v>
      </c>
      <c r="AA15" s="207" t="s">
        <v>15</v>
      </c>
      <c r="AB15" s="209" t="s">
        <v>289</v>
      </c>
      <c r="AC15" s="209" t="s">
        <v>287</v>
      </c>
      <c r="AD15" s="209" t="s">
        <v>319</v>
      </c>
      <c r="AE15" s="209" t="s">
        <v>145</v>
      </c>
    </row>
    <row r="16" spans="1:31" ht="12.75" customHeight="1">
      <c r="A16" s="258"/>
      <c r="B16" s="12" t="s">
        <v>3</v>
      </c>
      <c r="C16" s="82" t="s">
        <v>59</v>
      </c>
      <c r="D16" s="233">
        <v>0</v>
      </c>
      <c r="E16" s="94">
        <f>IF(D16=0,K25,IF(D16=0,L25,IF(D16=1,M25,IF(D16=2,N25,IF(D16=3,O25,IF(D16=4,P25,IF(D16=5,Q25,IF(D16=6,R25,0))))))))</f>
        <v>0</v>
      </c>
      <c r="F16" s="235">
        <v>12</v>
      </c>
      <c r="G16" s="234">
        <f>ROUND((E16+E17)*F16,2)</f>
        <v>0</v>
      </c>
      <c r="H16" s="234">
        <f>IF($A$4=1,23.72,6.55)</f>
        <v>6.55</v>
      </c>
      <c r="I16" s="234">
        <f>ROUND(G16*H16%,2)</f>
        <v>0</v>
      </c>
      <c r="J16" s="243" t="s">
        <v>58</v>
      </c>
      <c r="K16" s="236"/>
      <c r="L16" s="211">
        <v>900</v>
      </c>
      <c r="M16" s="211">
        <v>550</v>
      </c>
      <c r="N16" s="211">
        <v>500</v>
      </c>
      <c r="O16" s="211">
        <v>350</v>
      </c>
      <c r="P16" s="211">
        <v>385</v>
      </c>
      <c r="Q16" s="211">
        <v>385</v>
      </c>
      <c r="R16" s="211">
        <v>385</v>
      </c>
      <c r="S16" s="211">
        <v>330</v>
      </c>
      <c r="T16" s="211">
        <v>330</v>
      </c>
      <c r="U16" s="211">
        <v>330</v>
      </c>
      <c r="V16" s="211">
        <v>330</v>
      </c>
      <c r="W16" s="211">
        <v>330</v>
      </c>
      <c r="X16" s="211">
        <v>330</v>
      </c>
      <c r="Y16" s="211">
        <v>330</v>
      </c>
      <c r="Z16" s="211">
        <v>330</v>
      </c>
      <c r="AA16" s="211">
        <v>275</v>
      </c>
      <c r="AB16" s="211">
        <v>275</v>
      </c>
      <c r="AC16" s="211">
        <v>275</v>
      </c>
      <c r="AD16" s="211">
        <v>275</v>
      </c>
      <c r="AE16" s="211">
        <v>275</v>
      </c>
    </row>
    <row r="17" spans="1:32" ht="12.75" customHeight="1">
      <c r="A17" s="258"/>
      <c r="B17" s="12" t="s">
        <v>4</v>
      </c>
      <c r="C17" s="82" t="s">
        <v>59</v>
      </c>
      <c r="D17" s="233"/>
      <c r="E17" s="94">
        <f>IF(D16=7,S25,IF(D16=8,T25,IF(D16=9,U25,IF(D16=10,V25,0))))</f>
        <v>0</v>
      </c>
      <c r="F17" s="235"/>
      <c r="G17" s="234"/>
      <c r="H17" s="234"/>
      <c r="I17" s="234"/>
      <c r="J17" s="227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212"/>
      <c r="AC17" s="212"/>
      <c r="AD17" s="189"/>
      <c r="AE17" s="189"/>
    </row>
    <row r="18" spans="1:32" ht="12.75" customHeight="1">
      <c r="A18" s="258"/>
      <c r="B18" s="12" t="s">
        <v>5</v>
      </c>
      <c r="C18" s="82" t="s">
        <v>58</v>
      </c>
      <c r="D18" s="233">
        <v>0</v>
      </c>
      <c r="E18" s="17">
        <f>IF(D18=1,P16,IF(D18=2,S16,IF(D18=3,V16,IF(D18=4,AA16,IF(D18=5,L21,IF(D18=6,V21,IF(D18=7,O16,0)))))))</f>
        <v>0</v>
      </c>
      <c r="F18" s="235">
        <v>12</v>
      </c>
      <c r="G18" s="234">
        <f>ROUND((E18+E19)*F18,2)</f>
        <v>0</v>
      </c>
      <c r="H18" s="234">
        <f>IF($A$4=1,23.72,19.72)</f>
        <v>19.72</v>
      </c>
      <c r="I18" s="234">
        <f>ROUND(G18*H18%,2)</f>
        <v>0</v>
      </c>
      <c r="J18" s="227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9"/>
      <c r="AC18" s="189"/>
      <c r="AD18" s="189"/>
      <c r="AE18" s="189"/>
    </row>
    <row r="19" spans="1:32" ht="12.75" customHeight="1">
      <c r="A19" s="258"/>
      <c r="B19" s="12" t="s">
        <v>6</v>
      </c>
      <c r="C19" s="82" t="s">
        <v>58</v>
      </c>
      <c r="D19" s="233"/>
      <c r="E19" s="17">
        <f>IF(D18=8,M16,IF(D18=9,U21,IF(D18=10,N16,IF(D18=11,L16,IF(D18=12,Z21,IF(D18=13,Y21,0))))))</f>
        <v>0</v>
      </c>
      <c r="F19" s="235"/>
      <c r="G19" s="234"/>
      <c r="H19" s="234"/>
      <c r="I19" s="234"/>
      <c r="J19" s="242" t="s">
        <v>78</v>
      </c>
      <c r="K19" s="237"/>
      <c r="L19" s="237" t="s">
        <v>147</v>
      </c>
      <c r="M19" s="238"/>
      <c r="N19" s="238"/>
      <c r="O19" s="238"/>
      <c r="P19" s="238"/>
      <c r="Q19" s="238"/>
      <c r="R19" s="238"/>
      <c r="S19" s="208" t="s">
        <v>156</v>
      </c>
      <c r="T19" s="237" t="s">
        <v>159</v>
      </c>
      <c r="U19" s="238"/>
      <c r="V19" s="238"/>
      <c r="W19" s="238"/>
      <c r="X19" s="238"/>
      <c r="Y19" s="238"/>
      <c r="Z19" s="238"/>
      <c r="AA19" s="209" t="s">
        <v>16</v>
      </c>
      <c r="AB19" s="213" t="s">
        <v>196</v>
      </c>
      <c r="AC19" s="236" t="s">
        <v>195</v>
      </c>
      <c r="AD19" s="236"/>
      <c r="AE19" s="236"/>
    </row>
    <row r="20" spans="1:32" ht="12.75" customHeight="1">
      <c r="A20" s="258"/>
      <c r="B20" s="12" t="s">
        <v>7</v>
      </c>
      <c r="C20" s="82" t="s">
        <v>114</v>
      </c>
      <c r="D20" s="24">
        <v>0</v>
      </c>
      <c r="E20" s="17">
        <f>IF(D20=1,AB21,0)</f>
        <v>0</v>
      </c>
      <c r="F20" s="16">
        <v>12</v>
      </c>
      <c r="G20" s="17">
        <f>ROUND(E20*F20,2)</f>
        <v>0</v>
      </c>
      <c r="H20" s="17">
        <f>IF($A$4=1,23.72,6.55)</f>
        <v>6.55</v>
      </c>
      <c r="I20" s="17">
        <f>ROUND(G20*H20%,2)</f>
        <v>0</v>
      </c>
      <c r="J20" s="242" t="s">
        <v>41</v>
      </c>
      <c r="K20" s="237"/>
      <c r="L20" s="207" t="s">
        <v>320</v>
      </c>
      <c r="M20" s="207" t="s">
        <v>324</v>
      </c>
      <c r="N20" s="207" t="s">
        <v>15</v>
      </c>
      <c r="O20" s="209" t="s">
        <v>287</v>
      </c>
      <c r="P20" s="209" t="s">
        <v>321</v>
      </c>
      <c r="Q20" s="209" t="s">
        <v>319</v>
      </c>
      <c r="R20" s="209" t="s">
        <v>145</v>
      </c>
      <c r="S20" s="209" t="s">
        <v>288</v>
      </c>
      <c r="T20" s="21" t="s">
        <v>322</v>
      </c>
      <c r="U20" s="210" t="s">
        <v>323</v>
      </c>
      <c r="V20" s="209" t="s">
        <v>146</v>
      </c>
      <c r="W20" s="214" t="s">
        <v>152</v>
      </c>
      <c r="X20" s="215" t="s">
        <v>166</v>
      </c>
      <c r="Y20" s="207" t="s">
        <v>106</v>
      </c>
      <c r="Z20" s="207" t="s">
        <v>77</v>
      </c>
      <c r="AA20" s="209" t="s">
        <v>17</v>
      </c>
      <c r="AB20" s="209" t="s">
        <v>197</v>
      </c>
      <c r="AC20" s="209" t="s">
        <v>198</v>
      </c>
      <c r="AD20" s="209" t="s">
        <v>199</v>
      </c>
      <c r="AE20" s="209" t="s">
        <v>200</v>
      </c>
    </row>
    <row r="21" spans="1:32" ht="12.75" customHeight="1">
      <c r="A21" s="258"/>
      <c r="B21" s="12" t="s">
        <v>4</v>
      </c>
      <c r="C21" s="82" t="s">
        <v>172</v>
      </c>
      <c r="D21" s="24">
        <v>0</v>
      </c>
      <c r="E21" s="17">
        <f>IF(D21=1,AC21,IF(D21=2,AD21,IF(D21=3,AE21,0)))</f>
        <v>0</v>
      </c>
      <c r="F21" s="16">
        <v>12</v>
      </c>
      <c r="G21" s="17">
        <f>ROUND(E21*F21,2)</f>
        <v>0</v>
      </c>
      <c r="H21" s="17">
        <f>IF($A$4=1,23.72,6.55)</f>
        <v>6.55</v>
      </c>
      <c r="I21" s="17">
        <f>ROUND(G21*H21%,2)</f>
        <v>0</v>
      </c>
      <c r="J21" s="243" t="s">
        <v>58</v>
      </c>
      <c r="K21" s="236"/>
      <c r="L21" s="211">
        <v>150</v>
      </c>
      <c r="M21" s="216">
        <v>150</v>
      </c>
      <c r="N21" s="211">
        <v>150</v>
      </c>
      <c r="O21" s="211">
        <v>150</v>
      </c>
      <c r="P21" s="211">
        <v>150</v>
      </c>
      <c r="Q21" s="211">
        <v>150</v>
      </c>
      <c r="R21" s="211">
        <v>150</v>
      </c>
      <c r="S21" s="211">
        <v>150</v>
      </c>
      <c r="T21" s="4">
        <v>150</v>
      </c>
      <c r="U21" s="211">
        <v>350</v>
      </c>
      <c r="V21" s="211">
        <v>165</v>
      </c>
      <c r="W21" s="211">
        <v>165</v>
      </c>
      <c r="X21" s="211">
        <v>165</v>
      </c>
      <c r="Y21" s="211">
        <v>300</v>
      </c>
      <c r="Z21" s="211">
        <v>290</v>
      </c>
      <c r="AA21" s="208" t="s">
        <v>120</v>
      </c>
      <c r="AB21" s="211">
        <v>100</v>
      </c>
      <c r="AC21" s="211">
        <v>150</v>
      </c>
      <c r="AD21" s="211">
        <v>70</v>
      </c>
      <c r="AE21" s="211">
        <v>35</v>
      </c>
    </row>
    <row r="22" spans="1:32" ht="12.75" customHeight="1">
      <c r="A22" s="24"/>
      <c r="B22" s="12"/>
      <c r="C22" s="82" t="s">
        <v>40</v>
      </c>
      <c r="D22" s="24">
        <v>0</v>
      </c>
      <c r="E22" s="17"/>
      <c r="F22" s="16">
        <v>12</v>
      </c>
      <c r="G22" s="17"/>
      <c r="H22" s="17">
        <f>D22</f>
        <v>0</v>
      </c>
      <c r="I22" s="17">
        <f>ROUND(F22*H22,2)</f>
        <v>0</v>
      </c>
      <c r="J22" s="106"/>
      <c r="K22" s="24"/>
      <c r="L22" s="12"/>
      <c r="M22" s="98"/>
      <c r="N22" s="12"/>
      <c r="O22" s="12"/>
      <c r="P22" s="12"/>
      <c r="Q22" s="12"/>
      <c r="R22" s="12"/>
      <c r="S22" s="12"/>
      <c r="T22" s="12"/>
      <c r="U22" s="12"/>
      <c r="V22" s="24"/>
      <c r="W22" s="150"/>
      <c r="X22" s="151"/>
      <c r="Y22" s="151"/>
      <c r="Z22" s="151"/>
      <c r="AA22" s="151"/>
      <c r="AB22" s="144"/>
      <c r="AC22" s="144"/>
      <c r="AD22" s="144"/>
      <c r="AE22" s="144"/>
    </row>
    <row r="23" spans="1:32" ht="12.75" customHeight="1">
      <c r="A23" s="21">
        <v>1</v>
      </c>
      <c r="B23" s="12"/>
      <c r="C23" s="82" t="s">
        <v>81</v>
      </c>
      <c r="D23" s="24">
        <v>0</v>
      </c>
      <c r="E23" s="17"/>
      <c r="F23" s="16">
        <v>12</v>
      </c>
      <c r="G23" s="17"/>
      <c r="H23" s="17">
        <f>D23</f>
        <v>0</v>
      </c>
      <c r="I23" s="17">
        <f>ROUND(F23*H23,2)</f>
        <v>0</v>
      </c>
      <c r="J23" s="106"/>
      <c r="K23" s="24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79"/>
      <c r="Y23" s="11"/>
      <c r="Z23" s="11"/>
      <c r="AA23" s="11"/>
      <c r="AB23" s="84"/>
      <c r="AC23" s="84"/>
      <c r="AD23" s="84"/>
      <c r="AE23" s="84"/>
      <c r="AF23" s="15"/>
    </row>
    <row r="24" spans="1:32" ht="12.75" customHeight="1">
      <c r="A24" s="270" t="s">
        <v>82</v>
      </c>
      <c r="B24" s="12"/>
      <c r="C24" s="82" t="s">
        <v>63</v>
      </c>
      <c r="D24" s="24">
        <v>0</v>
      </c>
      <c r="E24" s="17"/>
      <c r="F24" s="16">
        <v>0</v>
      </c>
      <c r="G24" s="17"/>
      <c r="H24" s="17">
        <f>D24</f>
        <v>0</v>
      </c>
      <c r="I24" s="17">
        <f>ROUND(F24*H24,2)</f>
        <v>0</v>
      </c>
      <c r="J24" s="106" t="s">
        <v>17</v>
      </c>
      <c r="K24" s="12" t="s">
        <v>14</v>
      </c>
      <c r="L24" s="12" t="s">
        <v>13</v>
      </c>
      <c r="M24" s="12" t="s">
        <v>64</v>
      </c>
      <c r="N24" s="12" t="s">
        <v>65</v>
      </c>
      <c r="O24" s="12" t="s">
        <v>66</v>
      </c>
      <c r="P24" s="12" t="s">
        <v>67</v>
      </c>
      <c r="Q24" s="12" t="s">
        <v>68</v>
      </c>
      <c r="R24" s="12" t="s">
        <v>69</v>
      </c>
      <c r="S24" s="12" t="s">
        <v>70</v>
      </c>
      <c r="T24" s="12" t="s">
        <v>71</v>
      </c>
      <c r="U24" s="12" t="s">
        <v>74</v>
      </c>
      <c r="V24" s="12" t="s">
        <v>151</v>
      </c>
      <c r="W24" s="79"/>
      <c r="Y24" s="11"/>
      <c r="Z24" s="11"/>
      <c r="AA24" s="11"/>
      <c r="AB24" s="5"/>
      <c r="AC24" s="5"/>
      <c r="AD24" s="84"/>
      <c r="AE24" s="84"/>
    </row>
    <row r="25" spans="1:32" ht="12.75" customHeight="1">
      <c r="A25" s="271"/>
      <c r="B25" s="12"/>
      <c r="C25" s="82" t="s">
        <v>60</v>
      </c>
      <c r="D25" s="24">
        <v>0</v>
      </c>
      <c r="E25" s="17"/>
      <c r="F25" s="16">
        <v>12</v>
      </c>
      <c r="G25" s="17"/>
      <c r="H25" s="17">
        <f>D25</f>
        <v>0</v>
      </c>
      <c r="I25" s="17">
        <f>ROUND(F25*H25,2)</f>
        <v>0</v>
      </c>
      <c r="J25" s="106" t="s">
        <v>72</v>
      </c>
      <c r="K25" s="94">
        <f>K27</f>
        <v>0</v>
      </c>
      <c r="L25" s="17">
        <f t="shared" ref="L25:V25" si="4">K25+L27</f>
        <v>0</v>
      </c>
      <c r="M25" s="17">
        <f t="shared" si="4"/>
        <v>50</v>
      </c>
      <c r="N25" s="17">
        <f t="shared" si="4"/>
        <v>70</v>
      </c>
      <c r="O25" s="17">
        <f t="shared" si="4"/>
        <v>120</v>
      </c>
      <c r="P25" s="17">
        <f t="shared" si="4"/>
        <v>170</v>
      </c>
      <c r="Q25" s="17">
        <f t="shared" si="4"/>
        <v>240</v>
      </c>
      <c r="R25" s="17">
        <f t="shared" si="4"/>
        <v>310</v>
      </c>
      <c r="S25" s="17">
        <f t="shared" si="4"/>
        <v>380</v>
      </c>
      <c r="T25" s="17">
        <f t="shared" si="4"/>
        <v>450</v>
      </c>
      <c r="U25" s="17">
        <f t="shared" si="4"/>
        <v>520</v>
      </c>
      <c r="V25" s="17">
        <f t="shared" si="4"/>
        <v>590</v>
      </c>
      <c r="W25" s="152"/>
      <c r="X25" s="5"/>
      <c r="Y25" s="5"/>
      <c r="Z25" s="5"/>
      <c r="AA25" s="5"/>
      <c r="AB25" s="5"/>
      <c r="AC25" s="5"/>
      <c r="AD25" s="84"/>
      <c r="AE25" s="84"/>
    </row>
    <row r="26" spans="1:32" ht="12.75" customHeight="1">
      <c r="A26" s="271"/>
      <c r="B26" s="12"/>
      <c r="C26" s="82" t="s">
        <v>266</v>
      </c>
      <c r="D26" s="184">
        <v>0</v>
      </c>
      <c r="E26" s="17"/>
      <c r="F26" s="16"/>
      <c r="G26" s="17"/>
      <c r="H26" s="17"/>
      <c r="I26" s="17"/>
      <c r="J26" s="106" t="s">
        <v>75</v>
      </c>
      <c r="K26" s="12" t="s">
        <v>14</v>
      </c>
      <c r="L26" s="28" t="s">
        <v>33</v>
      </c>
      <c r="M26" s="28" t="s">
        <v>25</v>
      </c>
      <c r="N26" s="28" t="s">
        <v>26</v>
      </c>
      <c r="O26" s="28" t="s">
        <v>27</v>
      </c>
      <c r="P26" s="28" t="s">
        <v>28</v>
      </c>
      <c r="Q26" s="28" t="s">
        <v>29</v>
      </c>
      <c r="R26" s="28" t="s">
        <v>30</v>
      </c>
      <c r="S26" s="28" t="s">
        <v>31</v>
      </c>
      <c r="T26" s="28" t="s">
        <v>32</v>
      </c>
      <c r="U26" s="28" t="s">
        <v>73</v>
      </c>
      <c r="V26" s="28" t="s">
        <v>150</v>
      </c>
      <c r="W26" s="152"/>
      <c r="X26" s="5"/>
      <c r="Y26" s="5"/>
      <c r="Z26" s="5"/>
      <c r="AA26" s="5"/>
      <c r="AB26" s="5"/>
      <c r="AC26" s="5"/>
      <c r="AD26" s="84"/>
      <c r="AE26" s="84"/>
    </row>
    <row r="27" spans="1:32" ht="12.75" customHeight="1">
      <c r="A27" s="271"/>
      <c r="B27" s="12"/>
      <c r="C27" s="1"/>
      <c r="D27" s="1"/>
      <c r="E27" s="1"/>
      <c r="F27" s="1"/>
      <c r="G27" s="1"/>
      <c r="H27" s="1"/>
      <c r="I27" s="1"/>
      <c r="J27" s="106" t="s">
        <v>76</v>
      </c>
      <c r="K27" s="94">
        <v>0</v>
      </c>
      <c r="L27" s="94">
        <v>0</v>
      </c>
      <c r="M27" s="94">
        <v>50</v>
      </c>
      <c r="N27" s="94">
        <v>20</v>
      </c>
      <c r="O27" s="94">
        <v>50</v>
      </c>
      <c r="P27" s="94">
        <v>50</v>
      </c>
      <c r="Q27" s="94">
        <v>70</v>
      </c>
      <c r="R27" s="94">
        <v>70</v>
      </c>
      <c r="S27" s="94">
        <v>70</v>
      </c>
      <c r="T27" s="94">
        <v>70</v>
      </c>
      <c r="U27" s="94">
        <v>70</v>
      </c>
      <c r="V27" s="94">
        <v>70</v>
      </c>
      <c r="W27" s="152"/>
      <c r="X27" s="5"/>
      <c r="Y27" s="5"/>
      <c r="Z27" s="5"/>
      <c r="AA27" s="5"/>
      <c r="AB27" s="5"/>
      <c r="AC27" s="5"/>
      <c r="AD27" s="84"/>
      <c r="AE27" s="84"/>
    </row>
    <row r="28" spans="1:32" s="185" customFormat="1" ht="12.75" customHeight="1">
      <c r="A28" s="271"/>
      <c r="B28" s="174"/>
      <c r="C28" s="179"/>
      <c r="D28" s="21"/>
      <c r="E28" s="154"/>
      <c r="F28" s="174"/>
      <c r="G28" s="154"/>
      <c r="H28" s="154"/>
      <c r="I28" s="154"/>
      <c r="J28" s="176"/>
      <c r="K28" s="176"/>
      <c r="L28" s="176"/>
      <c r="M28" s="176"/>
      <c r="N28" s="176"/>
      <c r="O28" s="176"/>
      <c r="P28" s="2"/>
      <c r="Q28" s="2"/>
      <c r="R28" s="2"/>
      <c r="S28" s="2"/>
      <c r="T28" s="2"/>
      <c r="U28" s="2"/>
      <c r="V28"/>
      <c r="W28"/>
      <c r="X28"/>
      <c r="Y28"/>
      <c r="Z28"/>
      <c r="AA28"/>
      <c r="AB28"/>
      <c r="AC28"/>
      <c r="AD28"/>
      <c r="AE28"/>
    </row>
    <row r="29" spans="1:32" ht="12.75" customHeight="1">
      <c r="A29" s="271"/>
      <c r="B29" s="12"/>
      <c r="C29" s="1"/>
      <c r="D29" s="21"/>
      <c r="E29" s="17"/>
      <c r="F29" s="16"/>
      <c r="G29" s="17"/>
      <c r="H29" s="17"/>
      <c r="I29" s="17"/>
    </row>
    <row r="30" spans="1:32" ht="12.75" customHeight="1">
      <c r="A30" s="271"/>
      <c r="B30" s="12"/>
      <c r="C30" s="34"/>
      <c r="D30" s="24"/>
      <c r="E30" s="17"/>
      <c r="F30" s="16"/>
      <c r="G30" s="17"/>
      <c r="H30" s="17"/>
      <c r="I30" s="17"/>
    </row>
    <row r="31" spans="1:32" ht="12.75" customHeight="1">
      <c r="A31" s="271"/>
      <c r="B31" s="12"/>
      <c r="C31" s="82"/>
      <c r="D31" s="24"/>
      <c r="E31" s="17"/>
      <c r="F31" s="39"/>
      <c r="G31" s="17"/>
      <c r="H31" s="17"/>
      <c r="I31" s="17"/>
    </row>
    <row r="32" spans="1:32" ht="12.75" customHeight="1">
      <c r="A32" s="271"/>
      <c r="B32" s="12"/>
      <c r="C32" s="34"/>
      <c r="D32" s="24"/>
      <c r="E32" s="154">
        <f>E5+E6+E7+E8+E9+E10+E11+E12+E13+E14</f>
        <v>1800</v>
      </c>
      <c r="F32" s="16"/>
      <c r="G32" s="17">
        <f>E32-'ΜΙΣΘΟΔΟΣΙΑ ΜΟΝΙΜΩΝ Π.Μ.'!E35</f>
        <v>1800</v>
      </c>
      <c r="H32" s="16"/>
      <c r="I32" s="17"/>
    </row>
    <row r="33" spans="1:15" ht="12.75" customHeight="1">
      <c r="A33" s="271"/>
      <c r="B33" s="12"/>
      <c r="C33" s="16" t="s">
        <v>208</v>
      </c>
      <c r="D33" s="16"/>
      <c r="E33" s="99">
        <f>E5+E6+E7+E8+E9+E10+E11+E12+E13+E14+E15+E16+E17+E18+E19+E20+E21</f>
        <v>1800</v>
      </c>
      <c r="F33" s="16"/>
      <c r="G33" s="17">
        <f>G5+G8+G11+G13+G15+G16+G18+G20+G21</f>
        <v>21600</v>
      </c>
      <c r="H33" s="17"/>
      <c r="I33" s="17">
        <f>I5+I8+I11+I13+I15+I16+I18+I20+I21+I22+I23+I24+I25</f>
        <v>5123.5200000000004</v>
      </c>
    </row>
    <row r="34" spans="1:15" ht="12.75" customHeight="1">
      <c r="A34" s="271"/>
      <c r="B34" s="12"/>
      <c r="C34" s="16"/>
      <c r="D34" s="16"/>
      <c r="E34" s="17"/>
      <c r="F34" s="16"/>
      <c r="G34" s="17"/>
      <c r="H34" s="17"/>
      <c r="I34" s="17"/>
    </row>
    <row r="35" spans="1:15" ht="12.75" customHeight="1">
      <c r="A35" s="271"/>
      <c r="B35" s="12"/>
      <c r="C35" s="145"/>
      <c r="D35" s="16"/>
      <c r="E35" s="17"/>
      <c r="F35" s="16"/>
      <c r="G35" s="16"/>
      <c r="H35" s="16"/>
      <c r="I35" s="16"/>
    </row>
    <row r="36" spans="1:15" s="15" customFormat="1" ht="12.75" customHeight="1">
      <c r="A36" s="272"/>
      <c r="B36" s="12"/>
      <c r="C36" s="101" t="s">
        <v>222</v>
      </c>
      <c r="D36" s="34"/>
      <c r="E36" s="17">
        <f>G33</f>
        <v>21600</v>
      </c>
      <c r="F36" s="1"/>
      <c r="G36" s="1"/>
      <c r="H36" s="1"/>
      <c r="I36" s="17"/>
    </row>
    <row r="37" spans="1:15" ht="12.75" customHeight="1">
      <c r="A37" s="273"/>
      <c r="B37" s="12"/>
      <c r="C37" s="102" t="s">
        <v>223</v>
      </c>
      <c r="D37" s="1"/>
      <c r="E37" s="17">
        <f>ROUND((I74+I75+I82+I77+I78+I83+I80+I84+I85+I87+I88)*12,2)</f>
        <v>5123.5200000000004</v>
      </c>
      <c r="F37" s="1"/>
      <c r="G37" s="1"/>
      <c r="H37" s="1"/>
      <c r="I37" s="17"/>
    </row>
    <row r="38" spans="1:15" ht="12.75" customHeight="1">
      <c r="A38" s="24"/>
      <c r="B38" s="12"/>
      <c r="C38" s="103" t="s">
        <v>224</v>
      </c>
      <c r="D38" s="1"/>
      <c r="E38" s="28">
        <f>E36-E37</f>
        <v>16476.48</v>
      </c>
      <c r="F38" s="1"/>
      <c r="G38" s="1"/>
      <c r="H38" s="1"/>
      <c r="I38" s="28"/>
    </row>
    <row r="39" spans="1:15" ht="12.75" customHeight="1">
      <c r="A39" s="257"/>
      <c r="B39" s="12"/>
      <c r="C39" s="104"/>
      <c r="D39" s="39"/>
      <c r="E39" s="17"/>
      <c r="F39" s="16"/>
      <c r="G39" s="17"/>
      <c r="H39" s="17"/>
      <c r="I39" s="17"/>
    </row>
    <row r="40" spans="1:15" ht="12.75" customHeight="1">
      <c r="A40" s="249"/>
      <c r="B40" s="12"/>
      <c r="C40" s="12" t="s">
        <v>57</v>
      </c>
      <c r="D40" s="12"/>
      <c r="E40" s="181" t="s">
        <v>260</v>
      </c>
      <c r="F40" s="12"/>
      <c r="G40" s="28" t="s">
        <v>207</v>
      </c>
      <c r="H40" s="28" t="s">
        <v>23</v>
      </c>
      <c r="I40" s="28" t="s">
        <v>56</v>
      </c>
    </row>
    <row r="41" spans="1:15" ht="12.75" customHeight="1">
      <c r="A41" s="249"/>
      <c r="B41" s="12"/>
      <c r="C41" s="135" t="s">
        <v>51</v>
      </c>
      <c r="D41" s="136"/>
      <c r="E41" s="17">
        <f>IF($A$23=0,0,IF(D26=0,777,IF(D26=1,810,IF(D26=2,900,IF(D26&gt;=3,900+ROUND((D26-2)*220,2))))))</f>
        <v>777</v>
      </c>
      <c r="F41" s="94"/>
      <c r="G41" s="137">
        <f>IF(E38&lt;10000,E38,10000)</f>
        <v>10000</v>
      </c>
      <c r="H41" s="137">
        <v>9</v>
      </c>
      <c r="I41" s="137">
        <f>IF(ROUND(G41*H41%,2)-E41&lt;0,0,ROUND(G41*H41%,2)-E41)</f>
        <v>123</v>
      </c>
    </row>
    <row r="42" spans="1:15" ht="12.75" customHeight="1">
      <c r="A42" s="249"/>
      <c r="B42" s="12"/>
      <c r="C42" s="135" t="s">
        <v>52</v>
      </c>
      <c r="D42" s="136"/>
      <c r="E42" s="17"/>
      <c r="F42" s="94"/>
      <c r="G42" s="137">
        <f>IF(E38&lt;12000,E38-G41,2000)</f>
        <v>2000</v>
      </c>
      <c r="H42" s="137">
        <v>22</v>
      </c>
      <c r="I42" s="137">
        <f>IF(G42=0,0,IF(ROUND(G42*H42%,2)-ROUND((D26-2)*220,2)&lt;0,0,IF(D26&lt;3,ROUND(G42*H42%,2),IF(D26&lt;5,ROUND(G42*H42%,2)-ROUND((D26-2)*220,2),0))))</f>
        <v>440</v>
      </c>
    </row>
    <row r="43" spans="1:15" ht="12.75" customHeight="1">
      <c r="A43" s="249"/>
      <c r="B43" s="12"/>
      <c r="C43" s="135" t="s">
        <v>52</v>
      </c>
      <c r="D43" s="136"/>
      <c r="E43" s="17"/>
      <c r="F43" s="94"/>
      <c r="G43" s="137">
        <f>IF(E38&lt;20000,E38-G41-G42,8000)</f>
        <v>4476.4799999999996</v>
      </c>
      <c r="H43" s="137">
        <v>22</v>
      </c>
      <c r="I43" s="137">
        <f>IF(G43=0,0,IF(D26&lt;5,ROUND(G43*H43%,2)+ROUND(FLOOR(G43,1000)*20/1000,2),IF(D26&lt;13,ROUND(G43*H43%,2)-ROUND((D26-4)*220,2)+ROUND(FLOOR(G43,1000)*20/1000,2))))</f>
        <v>1064.83</v>
      </c>
    </row>
    <row r="44" spans="1:15" ht="12.75" customHeight="1">
      <c r="A44" s="249"/>
      <c r="B44" s="12"/>
      <c r="C44" s="135" t="s">
        <v>53</v>
      </c>
      <c r="D44" s="137"/>
      <c r="E44" s="1"/>
      <c r="F44" s="94"/>
      <c r="G44" s="137">
        <f>IF(E38&lt;30000,E38-G41-G42-G43,10000)</f>
        <v>0</v>
      </c>
      <c r="H44" s="137">
        <v>28</v>
      </c>
      <c r="I44" s="137">
        <f>IF(G44=0,0,ROUND(G44*H44%,2)+ROUND(FLOOR(G44,1000)*20/1000,2))</f>
        <v>0</v>
      </c>
      <c r="J44" s="176"/>
      <c r="L44" s="176"/>
      <c r="M44" s="176"/>
      <c r="N44" s="176"/>
      <c r="O44" s="176"/>
    </row>
    <row r="45" spans="1:15" ht="12.75" customHeight="1">
      <c r="A45" s="249"/>
      <c r="B45" s="12"/>
      <c r="C45" s="135" t="s">
        <v>54</v>
      </c>
      <c r="D45" s="137"/>
      <c r="E45" s="17"/>
      <c r="F45" s="94"/>
      <c r="G45" s="137">
        <f>IF(E38&lt;40000,E38-G41-G42-G43-G44,10000)</f>
        <v>0</v>
      </c>
      <c r="H45" s="137">
        <v>36</v>
      </c>
      <c r="I45" s="137">
        <f>IF(G45=0,0,ROUND(G45*H45%,2)+ROUND(FLOOR(G45,1000)*20/1000,2))</f>
        <v>0</v>
      </c>
    </row>
    <row r="46" spans="1:15" ht="12.75" customHeight="1">
      <c r="A46" s="249"/>
      <c r="B46" s="12"/>
      <c r="C46" s="135" t="s">
        <v>291</v>
      </c>
      <c r="D46" s="137"/>
      <c r="E46" s="17"/>
      <c r="F46" s="94"/>
      <c r="G46" s="137">
        <f>IF(E38&lt;50000,E38-G41-G42-G43-G44-G45,10000)</f>
        <v>0</v>
      </c>
      <c r="H46" s="137">
        <v>44</v>
      </c>
      <c r="I46" s="137">
        <f>IF(G46=0,0,ROUND(G46*H46%,2)+ROUND(FLOOR(G46,1000)*20/1000,2))</f>
        <v>0</v>
      </c>
    </row>
    <row r="47" spans="1:15" ht="12.75" customHeight="1">
      <c r="A47" s="249"/>
      <c r="B47" s="12"/>
      <c r="C47" s="135" t="s">
        <v>291</v>
      </c>
      <c r="D47" s="137"/>
      <c r="E47" s="17"/>
      <c r="F47" s="94"/>
      <c r="G47" s="137">
        <f>IF(E38&gt;50000,E38-G41-G42-G43-G44-G45-G46,0)</f>
        <v>0</v>
      </c>
      <c r="H47" s="137">
        <v>44</v>
      </c>
      <c r="I47" s="137">
        <f>ROUND(G47*H47%,2)</f>
        <v>0</v>
      </c>
    </row>
    <row r="48" spans="1:15" ht="12.75" customHeight="1">
      <c r="A48" s="249"/>
      <c r="B48" s="12"/>
      <c r="C48" s="138" t="s">
        <v>204</v>
      </c>
      <c r="D48" s="136"/>
      <c r="E48" s="17"/>
      <c r="F48" s="17"/>
      <c r="G48" s="17">
        <f>G41+G42+G43+G44+G45+G46+G47</f>
        <v>16476.48</v>
      </c>
      <c r="H48" s="17"/>
      <c r="I48" s="17">
        <f>I41+I42+I43+I44+I45+I46+I47</f>
        <v>1627.83</v>
      </c>
    </row>
    <row r="49" spans="1:15" ht="12.75" customHeight="1">
      <c r="A49" s="249"/>
      <c r="B49" s="12"/>
      <c r="C49" s="82"/>
      <c r="D49" s="105"/>
      <c r="E49" s="17"/>
      <c r="F49" s="16"/>
      <c r="G49" s="17"/>
      <c r="H49" s="17"/>
      <c r="I49" s="17"/>
    </row>
    <row r="50" spans="1:15" ht="12.75" customHeight="1">
      <c r="A50" s="249"/>
      <c r="B50" s="12"/>
      <c r="C50" s="12" t="s">
        <v>12</v>
      </c>
      <c r="D50" s="12"/>
      <c r="E50" s="17"/>
      <c r="F50" s="16">
        <v>12</v>
      </c>
      <c r="G50" s="28">
        <f>IF($A$54=1,0,ROUND(I48/F50,2))</f>
        <v>135.65</v>
      </c>
      <c r="H50" s="17"/>
      <c r="I50" s="17"/>
    </row>
    <row r="51" spans="1:15" ht="12.75" customHeight="1">
      <c r="A51" s="249"/>
      <c r="B51" s="12"/>
      <c r="C51" s="82"/>
      <c r="D51" s="16"/>
      <c r="E51" s="17"/>
      <c r="F51" s="108"/>
      <c r="G51" s="17"/>
      <c r="H51" s="17"/>
      <c r="I51" s="17"/>
    </row>
    <row r="52" spans="1:15" ht="12.75" customHeight="1">
      <c r="A52" s="249"/>
      <c r="B52" s="12"/>
      <c r="C52" s="82"/>
      <c r="D52" s="16"/>
      <c r="E52" s="17"/>
      <c r="F52" s="16"/>
      <c r="G52" s="17"/>
      <c r="H52" s="17"/>
      <c r="I52" s="17"/>
    </row>
    <row r="53" spans="1:15" ht="12.75" customHeight="1">
      <c r="A53" s="129"/>
      <c r="B53" s="12"/>
      <c r="C53" s="128" t="s">
        <v>258</v>
      </c>
      <c r="D53" s="12"/>
      <c r="E53" s="182"/>
      <c r="F53" s="12"/>
      <c r="G53" s="28" t="s">
        <v>207</v>
      </c>
      <c r="H53" s="28" t="s">
        <v>259</v>
      </c>
      <c r="I53" s="28" t="s">
        <v>257</v>
      </c>
    </row>
    <row r="54" spans="1:15" ht="12.75" customHeight="1">
      <c r="A54" s="21">
        <v>0</v>
      </c>
      <c r="B54" s="12"/>
      <c r="C54" s="1" t="s">
        <v>250</v>
      </c>
      <c r="D54" s="3"/>
      <c r="E54" s="3"/>
      <c r="F54" s="1"/>
      <c r="G54" s="137">
        <f>IF(E38&lt;12000,E38,12000)</f>
        <v>12000</v>
      </c>
      <c r="H54" s="180">
        <v>0</v>
      </c>
      <c r="I54" s="137">
        <f>ROUND(G54*H54%,2)</f>
        <v>0</v>
      </c>
    </row>
    <row r="55" spans="1:15" ht="12.75" customHeight="1">
      <c r="A55" s="257" t="s">
        <v>44</v>
      </c>
      <c r="B55" s="12"/>
      <c r="C55" s="1" t="s">
        <v>251</v>
      </c>
      <c r="D55" s="3"/>
      <c r="E55" s="3"/>
      <c r="F55" s="1"/>
      <c r="G55" s="137">
        <f>IF(E38&lt;20000,E38-G54,8000)</f>
        <v>4476.4799999999996</v>
      </c>
      <c r="H55" s="180">
        <v>2.2000000000000002</v>
      </c>
      <c r="I55" s="137">
        <f t="shared" ref="I55:I60" si="5">ROUND(G55*H55%,2)</f>
        <v>98.48</v>
      </c>
    </row>
    <row r="56" spans="1:15" ht="12.75" customHeight="1">
      <c r="A56" s="249"/>
      <c r="B56" s="12"/>
      <c r="C56" s="1" t="s">
        <v>252</v>
      </c>
      <c r="D56" s="3"/>
      <c r="E56" s="3"/>
      <c r="F56" s="1"/>
      <c r="G56" s="137">
        <f>IF(E38&lt;30000,E38-G54-G55,10000)</f>
        <v>0</v>
      </c>
      <c r="H56" s="180">
        <v>5</v>
      </c>
      <c r="I56" s="137">
        <f t="shared" si="5"/>
        <v>0</v>
      </c>
    </row>
    <row r="57" spans="1:15" ht="12.75" customHeight="1">
      <c r="A57" s="249"/>
      <c r="B57" s="12"/>
      <c r="C57" s="1" t="s">
        <v>253</v>
      </c>
      <c r="D57" s="3"/>
      <c r="E57" s="3"/>
      <c r="F57" s="1"/>
      <c r="G57" s="137">
        <f>IF(E38&lt;40000,E38-G54-G55-G56,10000)</f>
        <v>0</v>
      </c>
      <c r="H57" s="180">
        <v>6.5</v>
      </c>
      <c r="I57" s="137">
        <f t="shared" si="5"/>
        <v>0</v>
      </c>
    </row>
    <row r="58" spans="1:15" ht="12.75" customHeight="1">
      <c r="A58" s="249"/>
      <c r="B58" s="12"/>
      <c r="C58" s="1" t="s">
        <v>254</v>
      </c>
      <c r="D58" s="3"/>
      <c r="E58" s="3"/>
      <c r="F58" s="1"/>
      <c r="G58" s="137">
        <f>IF(E38&lt;65000,E38-G54-G55-G56-G57,25000)</f>
        <v>0</v>
      </c>
      <c r="H58" s="180">
        <v>7.5</v>
      </c>
      <c r="I58" s="137">
        <f t="shared" si="5"/>
        <v>0</v>
      </c>
    </row>
    <row r="59" spans="1:15" ht="12.75" customHeight="1">
      <c r="A59" s="249"/>
      <c r="B59" s="12"/>
      <c r="C59" s="1" t="s">
        <v>255</v>
      </c>
      <c r="D59" s="3"/>
      <c r="E59" s="3"/>
      <c r="F59" s="1"/>
      <c r="G59" s="137">
        <f>IF(E38&lt;220000,E38-G54-G55-G56-G57-G58,155000)</f>
        <v>0</v>
      </c>
      <c r="H59" s="180">
        <v>9</v>
      </c>
      <c r="I59" s="137">
        <f t="shared" si="5"/>
        <v>0</v>
      </c>
    </row>
    <row r="60" spans="1:15" ht="12.75" customHeight="1">
      <c r="A60" s="249"/>
      <c r="B60" s="12"/>
      <c r="C60" s="1" t="s">
        <v>256</v>
      </c>
      <c r="D60" s="3"/>
      <c r="E60" s="3"/>
      <c r="F60" s="1"/>
      <c r="G60" s="137">
        <f>IF(E38&gt;220000,E38-G54-G55-G56-G57-G58-G59,0)</f>
        <v>0</v>
      </c>
      <c r="H60" s="180">
        <v>10</v>
      </c>
      <c r="I60" s="137">
        <f t="shared" si="5"/>
        <v>0</v>
      </c>
      <c r="J60" s="176"/>
      <c r="K60" s="176"/>
      <c r="L60" s="176"/>
      <c r="M60" s="176"/>
      <c r="N60" s="176"/>
      <c r="O60" s="176"/>
    </row>
    <row r="61" spans="1:15" ht="12.75" customHeight="1">
      <c r="A61" s="249"/>
      <c r="B61" s="12"/>
      <c r="C61" s="1" t="s">
        <v>267</v>
      </c>
      <c r="D61" s="3"/>
      <c r="E61" s="3"/>
      <c r="F61" s="1"/>
      <c r="G61" s="4">
        <f>G54+G55+G56+G57+G58+G59+G60</f>
        <v>16476.48</v>
      </c>
      <c r="H61" s="3"/>
      <c r="I61" s="4">
        <f>I54+I55+I56+I57+I58+I59+I60</f>
        <v>98.48</v>
      </c>
      <c r="J61" s="176"/>
      <c r="K61" s="176"/>
      <c r="L61" s="176"/>
      <c r="M61" s="176"/>
      <c r="N61" s="176"/>
      <c r="O61" s="176"/>
    </row>
    <row r="62" spans="1:15" ht="12.75" customHeight="1">
      <c r="A62" s="249"/>
      <c r="B62" s="12"/>
      <c r="C62" s="34"/>
      <c r="D62" s="16"/>
      <c r="E62" s="16"/>
      <c r="F62" s="16"/>
      <c r="G62" s="28"/>
      <c r="H62" s="16"/>
      <c r="I62" s="16"/>
      <c r="J62" s="176"/>
      <c r="K62" s="176"/>
      <c r="L62" s="176"/>
      <c r="M62" s="176"/>
      <c r="N62" s="176"/>
      <c r="O62" s="176"/>
    </row>
    <row r="63" spans="1:15" ht="12.75" customHeight="1">
      <c r="A63" s="249"/>
      <c r="B63" s="12"/>
      <c r="C63" s="126" t="s">
        <v>249</v>
      </c>
      <c r="D63" s="12"/>
      <c r="E63" s="17"/>
      <c r="F63" s="16">
        <v>12</v>
      </c>
      <c r="G63" s="28">
        <f>IF($A$54=1,0,ROUND(I61/F63,2))</f>
        <v>8.2100000000000009</v>
      </c>
      <c r="H63" s="17"/>
      <c r="I63" s="17"/>
      <c r="J63" s="176"/>
      <c r="K63" s="176"/>
      <c r="L63" s="176"/>
      <c r="M63" s="176"/>
      <c r="N63" s="176"/>
      <c r="O63" s="176"/>
    </row>
    <row r="64" spans="1:15" ht="12.75" customHeight="1">
      <c r="A64" s="249"/>
      <c r="B64" s="12"/>
      <c r="C64" s="1"/>
      <c r="D64" s="1"/>
      <c r="E64" s="1"/>
      <c r="F64" s="1"/>
      <c r="G64" s="1"/>
      <c r="H64" s="1"/>
      <c r="I64" s="1"/>
      <c r="J64" s="176"/>
      <c r="K64" s="176"/>
      <c r="L64" s="176"/>
      <c r="M64" s="176"/>
      <c r="N64" s="176"/>
      <c r="O64" s="176"/>
    </row>
    <row r="65" spans="1:31" ht="12.75" customHeight="1">
      <c r="A65" s="16"/>
      <c r="B65" s="12"/>
      <c r="C65" s="258"/>
      <c r="D65" s="258"/>
      <c r="E65" s="258"/>
      <c r="F65" s="235"/>
      <c r="G65" s="235"/>
      <c r="H65" s="235"/>
      <c r="I65" s="235"/>
      <c r="J65" s="176"/>
      <c r="K65" s="176"/>
      <c r="L65" s="176"/>
      <c r="M65" s="176"/>
      <c r="N65" s="176"/>
      <c r="O65" s="176"/>
      <c r="S65" s="11"/>
      <c r="T65" s="11"/>
      <c r="U65" s="11"/>
      <c r="V65" s="37"/>
      <c r="W65" s="11"/>
      <c r="X65" s="11"/>
      <c r="Y65" s="11"/>
      <c r="Z65" s="11"/>
      <c r="AA65" s="11"/>
      <c r="AB65" s="84"/>
      <c r="AC65" s="84"/>
      <c r="AD65" s="84"/>
      <c r="AE65" s="84"/>
    </row>
    <row r="66" spans="1:31" ht="24" customHeight="1">
      <c r="A66" s="5"/>
      <c r="B66" s="265" t="s">
        <v>90</v>
      </c>
      <c r="C66" s="266"/>
      <c r="D66" s="266"/>
      <c r="E66" s="267"/>
      <c r="F66" s="259"/>
      <c r="G66" s="260"/>
      <c r="H66" s="260"/>
      <c r="I66" s="260"/>
      <c r="J66" s="183"/>
      <c r="K66" s="156"/>
      <c r="L66" s="156"/>
      <c r="M66" s="156"/>
      <c r="N66" s="156"/>
      <c r="O66" s="156"/>
      <c r="P66" s="11"/>
      <c r="Q66" s="11"/>
      <c r="R66" s="11"/>
      <c r="S66" s="11"/>
      <c r="T66" s="11"/>
      <c r="U66" s="11"/>
      <c r="V66" s="37"/>
      <c r="W66" s="11"/>
      <c r="X66" s="11"/>
      <c r="Y66" s="11"/>
      <c r="Z66" s="11"/>
      <c r="AA66" s="11"/>
      <c r="AB66" s="37"/>
      <c r="AC66" s="84"/>
      <c r="AD66" s="84"/>
      <c r="AE66" s="84"/>
    </row>
    <row r="67" spans="1:31" ht="24" customHeight="1">
      <c r="A67" s="5"/>
      <c r="B67" s="265" t="s">
        <v>125</v>
      </c>
      <c r="C67" s="266"/>
      <c r="D67" s="266"/>
      <c r="E67" s="267"/>
      <c r="F67" s="259"/>
      <c r="G67" s="260"/>
      <c r="H67" s="260"/>
      <c r="I67" s="260"/>
      <c r="J67" s="175"/>
      <c r="K67" s="175"/>
      <c r="L67" s="175"/>
      <c r="M67" s="175"/>
      <c r="N67" s="175"/>
      <c r="O67" s="175"/>
      <c r="P67" s="14"/>
      <c r="Q67" s="14"/>
      <c r="R67" s="14"/>
      <c r="S67" s="14"/>
      <c r="T67" s="14"/>
      <c r="U67" s="14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1:31" ht="24" customHeight="1">
      <c r="A68" s="5"/>
      <c r="B68" s="265" t="s">
        <v>46</v>
      </c>
      <c r="C68" s="266"/>
      <c r="D68" s="266"/>
      <c r="E68" s="267"/>
      <c r="F68" s="264"/>
      <c r="G68" s="260"/>
      <c r="H68" s="260"/>
      <c r="I68" s="260"/>
      <c r="J68" s="175"/>
      <c r="K68" s="175"/>
      <c r="L68" s="175"/>
      <c r="M68" s="175"/>
      <c r="N68" s="175"/>
      <c r="O68" s="175"/>
      <c r="P68" s="14"/>
      <c r="Q68" s="14"/>
      <c r="R68" s="14"/>
      <c r="S68" s="14"/>
      <c r="T68" s="14"/>
      <c r="U68" s="14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1:31" ht="24" customHeight="1">
      <c r="A69" s="5"/>
      <c r="B69" s="253" t="s">
        <v>35</v>
      </c>
      <c r="C69" s="253"/>
      <c r="D69" s="253"/>
      <c r="E69" s="253"/>
      <c r="F69" s="253"/>
      <c r="G69" s="253"/>
      <c r="H69" s="253"/>
      <c r="I69" s="253"/>
      <c r="J69" s="261" t="s">
        <v>205</v>
      </c>
      <c r="K69" s="262"/>
      <c r="L69" s="230" t="s">
        <v>206</v>
      </c>
      <c r="M69" s="175"/>
      <c r="N69" s="167"/>
      <c r="R69" s="14"/>
      <c r="S69" s="14"/>
      <c r="T69" s="14"/>
      <c r="U69" s="14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1:31" ht="12.75" customHeight="1">
      <c r="A70" s="5"/>
      <c r="B70" s="12"/>
      <c r="C70" s="12" t="s">
        <v>38</v>
      </c>
      <c r="D70" s="20" t="s">
        <v>167</v>
      </c>
      <c r="E70" s="12" t="s">
        <v>0</v>
      </c>
      <c r="F70" s="269" t="s">
        <v>37</v>
      </c>
      <c r="G70" s="269"/>
      <c r="H70" s="28" t="s">
        <v>10</v>
      </c>
      <c r="I70" s="28" t="s">
        <v>11</v>
      </c>
      <c r="J70" s="274" t="s">
        <v>92</v>
      </c>
      <c r="K70" s="276" t="s">
        <v>94</v>
      </c>
      <c r="L70" s="231"/>
      <c r="M70" s="175"/>
      <c r="N70" s="168"/>
      <c r="R70" s="14"/>
      <c r="S70" s="14"/>
      <c r="T70" s="14"/>
      <c r="U70" s="14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1:31" ht="12.75" customHeight="1">
      <c r="A71" s="5"/>
      <c r="B71" s="12" t="s">
        <v>3</v>
      </c>
      <c r="C71" s="82" t="s">
        <v>169</v>
      </c>
      <c r="D71" s="16">
        <f>D5</f>
        <v>13</v>
      </c>
      <c r="E71" s="17">
        <f>ROUND((E5+E6+E7+E8+E9+E10+E11+E12+E13+E14)*A98/30,2)</f>
        <v>1800</v>
      </c>
      <c r="F71" s="268" t="s">
        <v>56</v>
      </c>
      <c r="G71" s="268"/>
      <c r="H71" s="94"/>
      <c r="I71" s="94">
        <f>ROUND(G50*A98/30,2)</f>
        <v>135.65</v>
      </c>
      <c r="J71" s="275"/>
      <c r="K71" s="277"/>
      <c r="L71" s="231"/>
      <c r="M71" s="175"/>
      <c r="N71" s="11"/>
      <c r="R71" s="14"/>
      <c r="S71" s="14"/>
      <c r="T71" s="14"/>
      <c r="U71" s="14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 spans="1:31" ht="12.75" customHeight="1">
      <c r="A72" s="5"/>
      <c r="B72" s="12" t="s">
        <v>4</v>
      </c>
      <c r="C72" s="82" t="s">
        <v>243</v>
      </c>
      <c r="D72" s="1"/>
      <c r="E72" s="17">
        <f>ROUND(E15*A98/30,2)</f>
        <v>0</v>
      </c>
      <c r="F72" s="263" t="s">
        <v>296</v>
      </c>
      <c r="G72" s="263"/>
      <c r="H72" s="17">
        <v>4.3</v>
      </c>
      <c r="I72" s="17">
        <f>ROUND((E71+E73+E74+E75+E76)*H72%,2)</f>
        <v>77.400000000000006</v>
      </c>
      <c r="J72" s="275"/>
      <c r="K72" s="277"/>
      <c r="L72" s="231"/>
      <c r="M72" s="175"/>
      <c r="N72" s="11"/>
      <c r="R72" s="14"/>
      <c r="S72" s="14"/>
      <c r="T72" s="14"/>
      <c r="U72" s="14"/>
      <c r="V72" s="15"/>
      <c r="W72" s="15"/>
      <c r="X72" s="15"/>
      <c r="Y72" s="15"/>
      <c r="Z72" s="15"/>
      <c r="AA72" s="15"/>
      <c r="AB72" s="15"/>
      <c r="AC72" s="15"/>
      <c r="AD72" s="15"/>
      <c r="AE72" s="15"/>
    </row>
    <row r="73" spans="1:31" ht="12.75" customHeight="1">
      <c r="A73" s="5"/>
      <c r="B73" s="12" t="s">
        <v>5</v>
      </c>
      <c r="C73" s="82" t="s">
        <v>59</v>
      </c>
      <c r="D73" s="16"/>
      <c r="E73" s="17">
        <f>ROUND((E16+E17)*A98/30,2)</f>
        <v>0</v>
      </c>
      <c r="F73" s="263" t="s">
        <v>297</v>
      </c>
      <c r="G73" s="263"/>
      <c r="H73" s="17">
        <v>0.25</v>
      </c>
      <c r="I73" s="17">
        <f>ROUND((E71+E73+E74+E75+E76)*H73%,2)</f>
        <v>4.5</v>
      </c>
      <c r="J73" s="275"/>
      <c r="K73" s="277"/>
      <c r="L73" s="232"/>
      <c r="M73" s="175"/>
      <c r="N73" s="11"/>
      <c r="R73" s="14"/>
      <c r="S73" s="14"/>
      <c r="T73" s="14"/>
      <c r="U73" s="14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1:31" ht="12.75" customHeight="1">
      <c r="A74" s="5"/>
      <c r="B74" s="12" t="s">
        <v>6</v>
      </c>
      <c r="C74" s="82" t="s">
        <v>58</v>
      </c>
      <c r="D74" s="16"/>
      <c r="E74" s="17">
        <f>ROUND((E18+E19)*A98/30,2)</f>
        <v>0</v>
      </c>
      <c r="F74" s="263" t="s">
        <v>298</v>
      </c>
      <c r="G74" s="263"/>
      <c r="H74" s="17">
        <v>2.15</v>
      </c>
      <c r="I74" s="17">
        <f>ROUND((E71+E73+E74+E75+E76)*H74%,2)</f>
        <v>38.700000000000003</v>
      </c>
      <c r="J74" s="255" t="s">
        <v>93</v>
      </c>
      <c r="K74" s="256">
        <v>30</v>
      </c>
      <c r="L74" s="256" t="s">
        <v>62</v>
      </c>
      <c r="M74" s="175"/>
      <c r="N74" s="11"/>
      <c r="R74" s="14"/>
      <c r="S74" s="14"/>
      <c r="T74" s="14"/>
      <c r="U74" s="14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1:31" ht="12.75" customHeight="1">
      <c r="A75" s="5"/>
      <c r="B75" s="12" t="s">
        <v>7</v>
      </c>
      <c r="C75" s="82" t="s">
        <v>114</v>
      </c>
      <c r="D75" s="16"/>
      <c r="E75" s="17">
        <f>ROUND(E20*A98/30,2)</f>
        <v>0</v>
      </c>
      <c r="F75" s="263" t="s">
        <v>299</v>
      </c>
      <c r="G75" s="263"/>
      <c r="H75" s="17">
        <v>0.4</v>
      </c>
      <c r="I75" s="17">
        <f>ROUND((E71+E73+E74+E75+E76)*H75%,2)</f>
        <v>7.2</v>
      </c>
      <c r="J75" s="255"/>
      <c r="K75" s="256"/>
      <c r="L75" s="256"/>
      <c r="M75" s="175"/>
      <c r="N75" s="11"/>
      <c r="T75" s="14"/>
      <c r="W75" s="15"/>
      <c r="X75" s="15"/>
      <c r="Y75" s="15"/>
      <c r="Z75" s="15"/>
      <c r="AA75" s="15"/>
      <c r="AB75" s="15"/>
      <c r="AC75" s="15"/>
      <c r="AD75" s="15"/>
      <c r="AE75" s="15"/>
    </row>
    <row r="76" spans="1:31" ht="12.75" customHeight="1">
      <c r="A76" s="5"/>
      <c r="B76" s="12" t="s">
        <v>5</v>
      </c>
      <c r="C76" s="82" t="s">
        <v>172</v>
      </c>
      <c r="D76" s="1"/>
      <c r="E76" s="17">
        <f>ROUND(E21*A98/30,2)</f>
        <v>0</v>
      </c>
      <c r="F76" s="263" t="s">
        <v>301</v>
      </c>
      <c r="G76" s="263"/>
      <c r="H76" s="17">
        <v>3</v>
      </c>
      <c r="I76" s="17">
        <f>IF(A4=1,ROUND((E71+E73+E74+E75+E76)*H76%,2),ROUND((E71+E74)*H76%,2))</f>
        <v>54</v>
      </c>
      <c r="J76" s="255" t="s">
        <v>91</v>
      </c>
      <c r="K76" s="254">
        <f>ROUND(((E94+E79+E80+I77+I80)*30/K74)/25,2)</f>
        <v>90.72</v>
      </c>
      <c r="L76" s="254">
        <f>ROUND((E71+E72+E73+E74+E75+E76)/12,2)</f>
        <v>150</v>
      </c>
      <c r="M76" s="175"/>
      <c r="N76" s="169"/>
      <c r="T76" s="14"/>
      <c r="W76" s="15"/>
      <c r="X76" s="15"/>
      <c r="Y76" s="15"/>
      <c r="Z76" s="15"/>
      <c r="AA76" s="15"/>
      <c r="AB76" s="15"/>
      <c r="AC76" s="15"/>
      <c r="AD76" s="15"/>
      <c r="AE76" s="15"/>
    </row>
    <row r="77" spans="1:31" ht="12.75" customHeight="1">
      <c r="A77" s="5"/>
      <c r="B77" s="34"/>
      <c r="C77" s="131" t="s">
        <v>277</v>
      </c>
      <c r="D77" s="131"/>
      <c r="E77" s="4">
        <f>I72</f>
        <v>77.400000000000006</v>
      </c>
      <c r="F77" s="263" t="s">
        <v>300</v>
      </c>
      <c r="G77" s="263"/>
      <c r="H77" s="17">
        <v>3</v>
      </c>
      <c r="I77" s="17">
        <f>IF(A4=1,ROUND((E71+E73+E74+E75+E76)*H77%,2),ROUND((E71+E74)*H77%,2))</f>
        <v>54</v>
      </c>
      <c r="J77" s="255"/>
      <c r="K77" s="254"/>
      <c r="L77" s="254"/>
      <c r="M77" s="175"/>
      <c r="N77" s="169"/>
      <c r="T77" s="14"/>
      <c r="W77" s="15"/>
      <c r="X77" s="15"/>
      <c r="Y77" s="15"/>
      <c r="Z77" s="15"/>
      <c r="AA77" s="15"/>
      <c r="AB77" s="15"/>
      <c r="AC77" s="15"/>
      <c r="AD77" s="15"/>
      <c r="AE77" s="15"/>
    </row>
    <row r="78" spans="1:31" s="5" customFormat="1" ht="12.75" customHeight="1">
      <c r="B78" s="34"/>
      <c r="C78" s="131" t="s">
        <v>276</v>
      </c>
      <c r="D78" s="131"/>
      <c r="E78" s="4">
        <f>I73</f>
        <v>4.5</v>
      </c>
      <c r="F78" s="263" t="s">
        <v>302</v>
      </c>
      <c r="G78" s="263"/>
      <c r="H78" s="17">
        <v>4</v>
      </c>
      <c r="I78" s="17">
        <f>IF(A4=1,ROUND((E71+E73+E74+E75+E76)*H78%,2),ROUND((E71)*H78%,2))</f>
        <v>72</v>
      </c>
      <c r="J78" s="157" t="s">
        <v>107</v>
      </c>
      <c r="K78" s="24" t="s">
        <v>96</v>
      </c>
      <c r="L78" s="32" t="s">
        <v>95</v>
      </c>
      <c r="M78" s="175"/>
      <c r="N78" s="170"/>
      <c r="T78" s="11"/>
      <c r="U78" s="11"/>
      <c r="V78" s="84"/>
      <c r="W78" s="84"/>
      <c r="X78" s="84"/>
      <c r="Y78" s="84"/>
      <c r="Z78" s="84"/>
      <c r="AA78" s="84"/>
      <c r="AB78" s="84"/>
      <c r="AC78" s="84"/>
      <c r="AD78" s="84"/>
      <c r="AE78" s="84"/>
    </row>
    <row r="79" spans="1:31" s="5" customFormat="1" ht="12.75" customHeight="1">
      <c r="B79" s="34"/>
      <c r="C79" s="131" t="s">
        <v>293</v>
      </c>
      <c r="D79" s="131"/>
      <c r="E79" s="17">
        <f>I76</f>
        <v>54</v>
      </c>
      <c r="F79" s="263" t="s">
        <v>303</v>
      </c>
      <c r="G79" s="263"/>
      <c r="H79" s="17">
        <v>13.33</v>
      </c>
      <c r="I79" s="17">
        <f>IF(A4=1,ROUND((E71+E73+E74+E75+E76)*H79%,2),ROUND((E71+E74)*H79%,2))</f>
        <v>239.94</v>
      </c>
      <c r="M79" s="175"/>
      <c r="N79" s="170"/>
      <c r="T79" s="11"/>
      <c r="U79" s="11"/>
      <c r="V79" s="84"/>
      <c r="W79" s="84"/>
      <c r="X79" s="84"/>
      <c r="Y79" s="84"/>
      <c r="Z79" s="84"/>
      <c r="AA79" s="84"/>
      <c r="AB79" s="84"/>
      <c r="AC79" s="84"/>
      <c r="AD79" s="84"/>
      <c r="AE79" s="84"/>
    </row>
    <row r="80" spans="1:31" s="5" customFormat="1" ht="12.75" customHeight="1">
      <c r="B80" s="34"/>
      <c r="C80" s="131" t="s">
        <v>272</v>
      </c>
      <c r="D80" s="131"/>
      <c r="E80" s="17">
        <f>I79</f>
        <v>239.94</v>
      </c>
      <c r="F80" s="263" t="s">
        <v>304</v>
      </c>
      <c r="G80" s="263"/>
      <c r="H80" s="17">
        <v>6.67</v>
      </c>
      <c r="I80" s="17">
        <f>IF(A4=1,ROUND((E71+E73+E74+E75+E76)*H80%,2),ROUND((E71+E74)*H80%,2))</f>
        <v>120.06</v>
      </c>
      <c r="M80" s="175"/>
      <c r="N80" s="29"/>
      <c r="T80" s="11"/>
      <c r="U80" s="11"/>
      <c r="V80" s="84"/>
      <c r="W80" s="84"/>
      <c r="X80" s="84"/>
      <c r="Y80" s="84"/>
      <c r="Z80" s="84"/>
      <c r="AA80" s="84"/>
      <c r="AB80" s="84"/>
      <c r="AC80" s="84"/>
      <c r="AD80" s="84"/>
      <c r="AE80" s="84"/>
    </row>
    <row r="81" spans="1:31" s="5" customFormat="1" ht="12.75" customHeight="1">
      <c r="B81" s="1"/>
      <c r="C81" s="131" t="s">
        <v>305</v>
      </c>
      <c r="D81" s="1"/>
      <c r="E81" s="224">
        <f>E77+E78+E79+E80</f>
        <v>375.84000000000003</v>
      </c>
      <c r="F81" s="263" t="s">
        <v>309</v>
      </c>
      <c r="G81" s="263"/>
      <c r="H81" s="4">
        <f>H74+H75+H76+H78+H80</f>
        <v>16.22</v>
      </c>
      <c r="I81" s="4">
        <f>I74+I75+I77+I78+I80</f>
        <v>291.96000000000004</v>
      </c>
      <c r="J81" s="172"/>
      <c r="K81" s="172"/>
      <c r="L81" s="172"/>
      <c r="M81" s="175"/>
      <c r="N81" s="218"/>
      <c r="O81" s="218"/>
      <c r="T81" s="11"/>
      <c r="U81" s="11"/>
      <c r="V81" s="84"/>
      <c r="W81" s="84"/>
      <c r="X81" s="84"/>
      <c r="Y81" s="84"/>
      <c r="Z81" s="84"/>
      <c r="AA81" s="84"/>
      <c r="AB81" s="84"/>
      <c r="AC81" s="84"/>
      <c r="AD81" s="84"/>
      <c r="AE81" s="84"/>
    </row>
    <row r="82" spans="1:31" s="5" customFormat="1" ht="12.75" customHeight="1">
      <c r="B82" s="1"/>
      <c r="C82" s="1"/>
      <c r="D82" s="1"/>
      <c r="E82" s="3"/>
      <c r="F82" s="263" t="s">
        <v>62</v>
      </c>
      <c r="G82" s="263"/>
      <c r="H82" s="17">
        <v>4.5</v>
      </c>
      <c r="I82" s="17">
        <f>IF(A4=1,ROUND((E71+E73+E74+E75+E76)*H82%+E72*2%,2),ROUND((E71+E74)*H82%+E72*2%+(E73+E75+E76)*1%,2))</f>
        <v>81</v>
      </c>
      <c r="M82" s="175"/>
      <c r="N82" s="218"/>
      <c r="O82" s="218"/>
      <c r="T82" s="11"/>
      <c r="U82" s="11"/>
      <c r="V82" s="84"/>
      <c r="W82" s="84"/>
      <c r="X82" s="84"/>
      <c r="Y82" s="84"/>
      <c r="Z82" s="84"/>
      <c r="AA82" s="84"/>
      <c r="AB82" s="84"/>
      <c r="AC82" s="84"/>
      <c r="AD82" s="84"/>
      <c r="AE82" s="84"/>
    </row>
    <row r="83" spans="1:31" s="5" customFormat="1" ht="12.75" customHeight="1">
      <c r="B83" s="1"/>
      <c r="C83" s="1"/>
      <c r="D83" s="16"/>
      <c r="E83" s="17"/>
      <c r="F83" s="263" t="s">
        <v>175</v>
      </c>
      <c r="G83" s="263"/>
      <c r="H83" s="4">
        <v>1</v>
      </c>
      <c r="I83" s="4">
        <f>ROUND((E71+E72+E73+E74+E75+E76)*H83%,2)</f>
        <v>18</v>
      </c>
      <c r="M83" s="175"/>
      <c r="N83" s="172"/>
      <c r="O83" s="172"/>
      <c r="P83" s="173"/>
      <c r="T83" s="11"/>
      <c r="U83" s="11"/>
      <c r="V83" s="84"/>
      <c r="W83" s="84"/>
      <c r="X83" s="84"/>
      <c r="Y83" s="84"/>
      <c r="Z83" s="84"/>
      <c r="AA83" s="84"/>
      <c r="AB83" s="84"/>
      <c r="AC83" s="84"/>
      <c r="AD83" s="84"/>
      <c r="AE83" s="84"/>
    </row>
    <row r="84" spans="1:31" s="5" customFormat="1" ht="12.75" customHeight="1">
      <c r="B84" s="12"/>
      <c r="C84" s="82"/>
      <c r="D84" s="16"/>
      <c r="E84" s="17"/>
      <c r="F84" s="263" t="s">
        <v>108</v>
      </c>
      <c r="G84" s="263"/>
      <c r="H84" s="17">
        <f>IF($A$54=1,0,2)</f>
        <v>2</v>
      </c>
      <c r="I84" s="17">
        <f>ROUND((E71+E72+E73+E74+E75+E76)*H84%,2)</f>
        <v>36</v>
      </c>
      <c r="M84" s="175"/>
      <c r="N84" s="113"/>
      <c r="O84" s="113"/>
      <c r="P84" s="11"/>
      <c r="Q84" s="11"/>
      <c r="R84" s="11"/>
      <c r="S84" s="11"/>
      <c r="T84" s="11"/>
      <c r="U84" s="11"/>
      <c r="V84" s="84"/>
      <c r="W84" s="84"/>
      <c r="X84" s="84"/>
      <c r="Y84" s="84"/>
      <c r="Z84" s="84"/>
      <c r="AA84" s="84"/>
      <c r="AB84" s="84"/>
      <c r="AC84" s="84"/>
      <c r="AD84" s="84"/>
      <c r="AE84" s="84"/>
    </row>
    <row r="85" spans="1:31" s="6" customFormat="1" ht="12.75" customHeight="1">
      <c r="A85" s="5"/>
      <c r="B85" s="12"/>
      <c r="C85" s="82"/>
      <c r="D85" s="16"/>
      <c r="E85" s="17"/>
      <c r="F85" s="263" t="s">
        <v>39</v>
      </c>
      <c r="G85" s="263"/>
      <c r="H85" s="17"/>
      <c r="I85" s="17">
        <f>H22</f>
        <v>0</v>
      </c>
      <c r="M85" s="225"/>
      <c r="O85" s="113"/>
      <c r="P85" s="11"/>
      <c r="Q85" s="11"/>
      <c r="R85" s="11"/>
      <c r="S85" s="11"/>
      <c r="T85" s="13"/>
      <c r="U85" s="13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</row>
    <row r="86" spans="1:31" s="6" customFormat="1" ht="12.75" customHeight="1">
      <c r="A86" s="5"/>
      <c r="B86" s="12"/>
      <c r="C86" s="82"/>
      <c r="D86" s="16"/>
      <c r="E86" s="17"/>
      <c r="F86" s="263" t="s">
        <v>176</v>
      </c>
      <c r="G86" s="263"/>
      <c r="H86" s="17"/>
      <c r="I86" s="17">
        <f>H24</f>
        <v>0</v>
      </c>
      <c r="M86" s="225"/>
      <c r="O86" s="219"/>
      <c r="P86" s="7"/>
      <c r="AA86" s="109"/>
      <c r="AB86" s="109"/>
      <c r="AC86" s="109"/>
      <c r="AD86" s="109"/>
      <c r="AE86" s="109"/>
    </row>
    <row r="87" spans="1:31" s="5" customFormat="1" ht="12.75" customHeight="1">
      <c r="B87" s="12"/>
      <c r="C87" s="34"/>
      <c r="D87" s="16"/>
      <c r="E87" s="16"/>
      <c r="F87" s="263" t="s">
        <v>43</v>
      </c>
      <c r="G87" s="263"/>
      <c r="H87" s="17"/>
      <c r="I87" s="17">
        <f>H25</f>
        <v>0</v>
      </c>
      <c r="J87" s="171"/>
      <c r="K87" s="226"/>
      <c r="L87" s="226"/>
      <c r="M87" s="171"/>
      <c r="N87" s="171"/>
      <c r="O87" s="172"/>
      <c r="P87" s="171"/>
      <c r="AA87" s="84"/>
      <c r="AB87" s="84"/>
      <c r="AC87" s="84"/>
      <c r="AD87" s="84"/>
      <c r="AE87" s="84"/>
    </row>
    <row r="88" spans="1:31" s="5" customFormat="1" ht="12.75" customHeight="1">
      <c r="B88" s="12"/>
      <c r="C88" s="82"/>
      <c r="D88" s="16"/>
      <c r="E88" s="17"/>
      <c r="F88" s="263" t="s">
        <v>62</v>
      </c>
      <c r="G88" s="263"/>
      <c r="H88" s="17" t="s">
        <v>20</v>
      </c>
      <c r="I88" s="17">
        <f>H23</f>
        <v>0</v>
      </c>
      <c r="J88" s="171"/>
      <c r="K88" s="225"/>
      <c r="L88" s="225"/>
      <c r="M88" s="225"/>
      <c r="O88" s="130"/>
      <c r="P88" s="8"/>
      <c r="AB88" s="84"/>
      <c r="AC88" s="84"/>
      <c r="AD88" s="84"/>
      <c r="AE88" s="84"/>
    </row>
    <row r="89" spans="1:31" s="5" customFormat="1" ht="12.75" customHeight="1">
      <c r="B89" s="12"/>
      <c r="C89" s="34"/>
      <c r="D89" s="16"/>
      <c r="E89" s="16"/>
      <c r="F89" s="263" t="s">
        <v>61</v>
      </c>
      <c r="G89" s="263"/>
      <c r="H89" s="17" t="s">
        <v>18</v>
      </c>
      <c r="I89" s="17">
        <v>0</v>
      </c>
      <c r="J89" s="171"/>
      <c r="K89" s="225"/>
      <c r="L89" s="225"/>
      <c r="M89" s="225"/>
      <c r="O89" s="171"/>
      <c r="P89" s="171"/>
      <c r="AB89" s="84"/>
      <c r="AC89" s="84"/>
      <c r="AD89" s="84"/>
      <c r="AE89" s="84"/>
    </row>
    <row r="90" spans="1:31" s="5" customFormat="1" ht="12.75" customHeight="1">
      <c r="B90" s="12"/>
      <c r="C90" s="34"/>
      <c r="D90" s="16"/>
      <c r="E90" s="16"/>
      <c r="F90" s="263" t="s">
        <v>61</v>
      </c>
      <c r="G90" s="263"/>
      <c r="H90" s="17" t="s">
        <v>62</v>
      </c>
      <c r="I90" s="17">
        <v>0</v>
      </c>
      <c r="J90" s="171"/>
      <c r="K90" s="172"/>
      <c r="L90" s="172"/>
      <c r="M90" s="172"/>
      <c r="N90" s="218"/>
      <c r="O90" s="218"/>
      <c r="AB90" s="84"/>
      <c r="AC90" s="84"/>
      <c r="AD90" s="84"/>
      <c r="AE90" s="84"/>
    </row>
    <row r="91" spans="1:31" s="5" customFormat="1" ht="11.25" customHeight="1">
      <c r="B91" s="12"/>
      <c r="C91" s="34"/>
      <c r="D91" s="16"/>
      <c r="E91" s="16"/>
      <c r="F91" s="263" t="s">
        <v>98</v>
      </c>
      <c r="G91" s="263"/>
      <c r="H91" s="17" t="s">
        <v>2</v>
      </c>
      <c r="I91" s="17">
        <f>I89+I90</f>
        <v>0</v>
      </c>
      <c r="J91" s="171"/>
      <c r="K91" s="172"/>
      <c r="L91" s="172"/>
      <c r="M91" s="172"/>
      <c r="N91" s="218"/>
      <c r="O91" s="218"/>
      <c r="AB91" s="84"/>
      <c r="AC91" s="84"/>
      <c r="AD91" s="84"/>
      <c r="AE91" s="84"/>
    </row>
    <row r="92" spans="1:31" s="5" customFormat="1" ht="12.75" customHeight="1">
      <c r="B92" s="12"/>
      <c r="C92" s="34"/>
      <c r="D92" s="16"/>
      <c r="E92" s="16"/>
      <c r="F92" s="263" t="s">
        <v>42</v>
      </c>
      <c r="G92" s="263"/>
      <c r="H92" s="17"/>
      <c r="I92" s="17">
        <v>0</v>
      </c>
      <c r="J92" s="171"/>
      <c r="K92" s="172"/>
      <c r="L92" s="172"/>
      <c r="M92" s="172"/>
      <c r="N92" s="218"/>
      <c r="O92" s="218"/>
      <c r="AB92" s="84"/>
      <c r="AC92" s="84"/>
      <c r="AD92" s="84"/>
      <c r="AE92" s="84"/>
    </row>
    <row r="93" spans="1:31" s="5" customFormat="1" ht="12.75" customHeight="1">
      <c r="B93" s="12"/>
      <c r="C93" s="34"/>
      <c r="D93" s="16"/>
      <c r="E93" s="16"/>
      <c r="F93" s="263" t="s">
        <v>173</v>
      </c>
      <c r="G93" s="263"/>
      <c r="H93" s="17"/>
      <c r="I93" s="17">
        <f>ROUND(G63*A98/30,2)</f>
        <v>8.2100000000000009</v>
      </c>
      <c r="J93" s="171"/>
      <c r="K93" s="172"/>
      <c r="L93" s="172"/>
      <c r="M93" s="172"/>
      <c r="N93" s="218"/>
      <c r="O93" s="218"/>
      <c r="AB93" s="84"/>
      <c r="AC93" s="84"/>
      <c r="AD93" s="84"/>
      <c r="AE93" s="84"/>
    </row>
    <row r="94" spans="1:31" s="5" customFormat="1" ht="12.75" customHeight="1">
      <c r="B94" s="12"/>
      <c r="C94" s="82" t="s">
        <v>47</v>
      </c>
      <c r="D94" s="16"/>
      <c r="E94" s="99">
        <f>E71+E72+E73+E74+E75+E76</f>
        <v>1800</v>
      </c>
      <c r="F94" s="263" t="s">
        <v>48</v>
      </c>
      <c r="G94" s="263"/>
      <c r="H94" s="263"/>
      <c r="I94" s="99">
        <f>I71+I81+I82+I83+I84+I85+I86+I87+I88+I91+I92+I93</f>
        <v>570.82000000000005</v>
      </c>
      <c r="J94" s="171"/>
      <c r="K94" s="172"/>
      <c r="L94" s="172"/>
      <c r="M94" s="172"/>
      <c r="N94" s="218"/>
      <c r="O94" s="218"/>
      <c r="AB94" s="84"/>
      <c r="AC94" s="84"/>
      <c r="AD94" s="84"/>
      <c r="AE94" s="84"/>
    </row>
    <row r="95" spans="1:31" s="5" customFormat="1" ht="12.75" customHeight="1">
      <c r="A95" s="25"/>
      <c r="B95" s="12"/>
      <c r="C95" s="82"/>
      <c r="D95" s="16"/>
      <c r="E95" s="17"/>
      <c r="F95" s="263"/>
      <c r="G95" s="263"/>
      <c r="H95" s="263"/>
      <c r="I95" s="17"/>
      <c r="J95" s="171"/>
      <c r="K95" s="172"/>
      <c r="L95" s="172"/>
      <c r="M95" s="172"/>
      <c r="N95" s="218"/>
      <c r="O95" s="113"/>
      <c r="P95" s="11"/>
      <c r="Q95" s="11"/>
      <c r="R95" s="11"/>
      <c r="S95" s="11"/>
      <c r="T95" s="11"/>
      <c r="U95" s="11"/>
      <c r="V95" s="84"/>
      <c r="W95" s="84"/>
      <c r="X95" s="84"/>
      <c r="Y95" s="84"/>
      <c r="Z95" s="84"/>
      <c r="AA95" s="84"/>
      <c r="AB95" s="84"/>
      <c r="AC95" s="84"/>
      <c r="AD95" s="84"/>
      <c r="AE95" s="84"/>
    </row>
    <row r="96" spans="1:31" s="5" customFormat="1" ht="12.75" customHeight="1">
      <c r="A96" s="25"/>
      <c r="B96" s="12"/>
      <c r="C96" s="82" t="s">
        <v>47</v>
      </c>
      <c r="D96" s="16"/>
      <c r="E96" s="17">
        <f>E94</f>
        <v>1800</v>
      </c>
      <c r="F96" s="268"/>
      <c r="G96" s="263"/>
      <c r="H96" s="263"/>
      <c r="I96" s="17"/>
      <c r="J96" s="171"/>
      <c r="K96" s="172"/>
      <c r="L96" s="172"/>
      <c r="M96" s="172"/>
      <c r="N96" s="218"/>
      <c r="O96" s="113"/>
      <c r="P96" s="11"/>
      <c r="Q96" s="11"/>
      <c r="R96" s="11"/>
      <c r="S96" s="11"/>
      <c r="T96" s="11"/>
      <c r="U96" s="11"/>
      <c r="V96" s="84"/>
      <c r="W96" s="84"/>
      <c r="X96" s="84"/>
      <c r="Y96" s="84"/>
      <c r="Z96" s="84"/>
      <c r="AA96" s="84"/>
      <c r="AB96" s="84"/>
      <c r="AC96" s="84"/>
      <c r="AD96" s="84"/>
      <c r="AE96" s="84"/>
    </row>
    <row r="97" spans="1:31" s="5" customFormat="1" ht="12.75" customHeight="1">
      <c r="A97" s="25"/>
      <c r="B97" s="12"/>
      <c r="C97" s="82" t="s">
        <v>48</v>
      </c>
      <c r="D97" s="16"/>
      <c r="E97" s="17">
        <f>I94</f>
        <v>570.82000000000005</v>
      </c>
      <c r="F97" s="279"/>
      <c r="G97" s="279"/>
      <c r="H97" s="279"/>
      <c r="I97" s="17"/>
      <c r="J97" s="171"/>
      <c r="K97" s="172"/>
      <c r="L97" s="172"/>
      <c r="M97" s="172"/>
      <c r="N97" s="218"/>
      <c r="O97" s="113"/>
      <c r="P97" s="11"/>
      <c r="Q97" s="11"/>
      <c r="R97" s="11"/>
      <c r="S97" s="11"/>
      <c r="T97" s="11"/>
      <c r="U97" s="11"/>
      <c r="V97" s="84"/>
      <c r="W97" s="84"/>
      <c r="X97" s="84"/>
      <c r="Y97" s="84"/>
      <c r="Z97" s="84"/>
      <c r="AA97" s="84"/>
      <c r="AB97" s="84"/>
      <c r="AC97" s="84"/>
      <c r="AD97" s="84"/>
      <c r="AE97" s="84"/>
    </row>
    <row r="98" spans="1:31" s="5" customFormat="1" ht="12.75" customHeight="1">
      <c r="A98" s="26">
        <v>30</v>
      </c>
      <c r="B98" s="34"/>
      <c r="C98" s="110" t="s">
        <v>55</v>
      </c>
      <c r="D98" s="16"/>
      <c r="E98" s="28">
        <f>E96-E97</f>
        <v>1229.1799999999998</v>
      </c>
      <c r="F98" s="278"/>
      <c r="G98" s="263"/>
      <c r="H98" s="263"/>
      <c r="I98" s="28"/>
      <c r="J98" s="171"/>
      <c r="K98" s="172"/>
      <c r="L98" s="172"/>
      <c r="M98" s="172"/>
      <c r="N98" s="218"/>
      <c r="O98" s="113"/>
      <c r="P98" s="11"/>
      <c r="Q98" s="11"/>
      <c r="R98" s="11"/>
      <c r="S98" s="11"/>
      <c r="T98" s="11"/>
      <c r="U98" s="11"/>
      <c r="V98" s="84"/>
      <c r="W98" s="84"/>
      <c r="X98" s="84"/>
      <c r="Y98" s="84"/>
      <c r="Z98" s="84"/>
      <c r="AA98" s="84"/>
      <c r="AB98" s="84"/>
      <c r="AC98" s="84"/>
      <c r="AD98" s="84"/>
      <c r="AE98" s="84"/>
    </row>
    <row r="99" spans="1:31" s="5" customFormat="1" ht="12.75" customHeight="1">
      <c r="A99" s="25"/>
      <c r="B99" s="34"/>
      <c r="C99" s="110" t="s">
        <v>49</v>
      </c>
      <c r="D99" s="16"/>
      <c r="E99" s="28">
        <f>ROUND(E98/2,2)</f>
        <v>614.59</v>
      </c>
      <c r="F99" s="278"/>
      <c r="G99" s="263"/>
      <c r="H99" s="263"/>
      <c r="I99" s="28"/>
      <c r="J99" s="171"/>
      <c r="K99" s="172"/>
      <c r="L99" s="172"/>
      <c r="M99" s="172"/>
      <c r="N99" s="218"/>
      <c r="O99" s="113"/>
      <c r="P99" s="11"/>
      <c r="Q99" s="11"/>
      <c r="R99" s="11"/>
      <c r="S99" s="11"/>
      <c r="T99" s="11"/>
      <c r="U99" s="11"/>
      <c r="V99" s="84"/>
      <c r="W99" s="84"/>
      <c r="X99" s="84"/>
      <c r="Y99" s="84"/>
      <c r="Z99" s="84"/>
      <c r="AA99" s="84"/>
      <c r="AB99" s="84"/>
      <c r="AC99" s="84"/>
      <c r="AD99" s="84"/>
      <c r="AE99" s="84"/>
    </row>
    <row r="100" spans="1:31" s="5" customFormat="1" ht="12.75" customHeight="1">
      <c r="A100" s="25"/>
      <c r="B100" s="151"/>
      <c r="C100" s="151"/>
      <c r="D100" s="151"/>
      <c r="E100" s="151"/>
      <c r="F100" s="151"/>
      <c r="G100" s="151"/>
      <c r="H100" s="151"/>
      <c r="I100" s="151"/>
      <c r="J100" s="172"/>
      <c r="K100" s="173"/>
      <c r="L100" s="173"/>
      <c r="M100" s="173"/>
      <c r="O100" s="11"/>
      <c r="P100" s="11"/>
      <c r="Q100" s="11"/>
      <c r="R100" s="11"/>
      <c r="S100" s="11"/>
      <c r="T100" s="11"/>
      <c r="U100" s="11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</row>
    <row r="101" spans="1:31" s="5" customFormat="1">
      <c r="A101" s="7"/>
      <c r="B101" s="84"/>
      <c r="C101" s="84"/>
      <c r="D101" s="11"/>
      <c r="E101" s="11"/>
      <c r="F101" s="84"/>
      <c r="G101" s="84"/>
      <c r="H101" s="84"/>
      <c r="I101" s="84"/>
      <c r="J101" s="156"/>
      <c r="K101" s="172"/>
      <c r="L101" s="173"/>
      <c r="M101" s="173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</row>
    <row r="102" spans="1:31" s="5" customFormat="1" ht="12.75" customHeight="1">
      <c r="A102" s="7"/>
      <c r="B102" s="84"/>
      <c r="C102" s="84"/>
      <c r="D102" s="132" t="s">
        <v>209</v>
      </c>
      <c r="E102" s="132"/>
      <c r="F102" s="84"/>
      <c r="G102" s="84"/>
      <c r="H102" s="84"/>
      <c r="I102" s="84"/>
      <c r="J102" s="156"/>
      <c r="K102" s="156"/>
      <c r="L102" s="156"/>
      <c r="M102" s="156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</row>
    <row r="103" spans="1:31" s="5" customFormat="1" ht="12.75" customHeight="1">
      <c r="A103" s="7"/>
      <c r="B103" s="84"/>
      <c r="C103" s="84"/>
      <c r="D103" s="132" t="s">
        <v>210</v>
      </c>
      <c r="E103" s="132"/>
      <c r="F103" s="84"/>
      <c r="G103" s="84"/>
      <c r="H103" s="84"/>
      <c r="I103" s="84"/>
      <c r="J103" s="156"/>
      <c r="K103" s="156"/>
      <c r="L103" s="156"/>
      <c r="M103" s="156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</row>
    <row r="104" spans="1:31" s="5" customFormat="1" ht="12.75" customHeight="1">
      <c r="A104" s="7"/>
      <c r="B104" s="84"/>
      <c r="C104" s="84"/>
      <c r="D104" s="132" t="s">
        <v>273</v>
      </c>
      <c r="E104" s="132"/>
      <c r="F104" s="84"/>
      <c r="G104" s="84"/>
      <c r="H104" s="84"/>
      <c r="I104" s="84"/>
      <c r="J104" s="156"/>
      <c r="K104" s="156"/>
      <c r="L104" s="156"/>
      <c r="M104" s="156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</row>
    <row r="105" spans="1:31" s="5" customFormat="1" ht="12.75" customHeight="1">
      <c r="A105" s="7"/>
      <c r="B105" s="84"/>
      <c r="C105" s="84"/>
      <c r="D105" s="132"/>
      <c r="E105" s="132"/>
      <c r="F105" s="84"/>
      <c r="G105" s="84"/>
      <c r="H105" s="84"/>
      <c r="I105" s="84"/>
      <c r="J105" s="156"/>
      <c r="K105" s="156"/>
      <c r="L105" s="156"/>
      <c r="M105" s="156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</row>
    <row r="106" spans="1:31" s="5" customFormat="1" ht="12.75" customHeight="1">
      <c r="A106" s="7"/>
      <c r="D106" s="133" t="s">
        <v>211</v>
      </c>
      <c r="E106" s="133"/>
      <c r="J106" s="173"/>
      <c r="K106" s="173"/>
      <c r="L106" s="173"/>
      <c r="M106" s="173"/>
    </row>
    <row r="107" spans="1:31" s="5" customFormat="1" ht="12.75" customHeight="1">
      <c r="A107" s="7"/>
      <c r="D107" s="133" t="s">
        <v>212</v>
      </c>
      <c r="E107" s="133"/>
    </row>
    <row r="108" spans="1:31" s="5" customFormat="1" ht="12.75" customHeight="1">
      <c r="A108" s="7"/>
      <c r="D108" s="133" t="s">
        <v>213</v>
      </c>
      <c r="E108" s="133"/>
    </row>
    <row r="109" spans="1:31" s="5" customFormat="1" ht="12.75" customHeight="1">
      <c r="A109" s="7"/>
      <c r="D109" s="133" t="s">
        <v>214</v>
      </c>
      <c r="E109" s="133"/>
    </row>
    <row r="110" spans="1:31" s="5" customFormat="1">
      <c r="A110" s="7"/>
    </row>
    <row r="111" spans="1:31" s="5" customFormat="1">
      <c r="A111" s="7"/>
    </row>
    <row r="112" spans="1:31" s="5" customFormat="1">
      <c r="A112" s="7"/>
    </row>
    <row r="113" spans="1:1" s="5" customFormat="1">
      <c r="A113" s="7"/>
    </row>
    <row r="114" spans="1:1" s="5" customFormat="1">
      <c r="A114" s="7"/>
    </row>
    <row r="115" spans="1:1" s="5" customFormat="1">
      <c r="A115" s="7"/>
    </row>
    <row r="116" spans="1:1" s="5" customFormat="1">
      <c r="A116" s="7"/>
    </row>
    <row r="117" spans="1:1" s="5" customFormat="1">
      <c r="A117" s="7"/>
    </row>
    <row r="118" spans="1:1" s="5" customFormat="1">
      <c r="A118" s="7"/>
    </row>
    <row r="119" spans="1:1" s="5" customFormat="1">
      <c r="A119" s="7"/>
    </row>
    <row r="120" spans="1:1" s="5" customFormat="1">
      <c r="A120" s="7"/>
    </row>
    <row r="121" spans="1:1" s="5" customFormat="1">
      <c r="A121" s="7"/>
    </row>
    <row r="122" spans="1:1" s="5" customFormat="1">
      <c r="A122" s="7"/>
    </row>
    <row r="123" spans="1:1" s="5" customFormat="1">
      <c r="A123" s="7"/>
    </row>
    <row r="124" spans="1:1" s="5" customFormat="1">
      <c r="A124" s="7"/>
    </row>
    <row r="125" spans="1:1" s="5" customFormat="1">
      <c r="A125" s="7"/>
    </row>
    <row r="126" spans="1:1" s="5" customFormat="1">
      <c r="A126" s="7"/>
    </row>
    <row r="127" spans="1:1" s="5" customFormat="1">
      <c r="A127" s="7"/>
    </row>
    <row r="128" spans="1:1" s="5" customFormat="1">
      <c r="A128" s="7"/>
    </row>
    <row r="129" spans="1:1" s="5" customFormat="1">
      <c r="A129" s="7"/>
    </row>
    <row r="130" spans="1:1" s="5" customFormat="1">
      <c r="A130" s="7"/>
    </row>
    <row r="131" spans="1:1" s="5" customFormat="1">
      <c r="A131" s="7"/>
    </row>
    <row r="132" spans="1:1" s="5" customFormat="1">
      <c r="A132" s="7"/>
    </row>
    <row r="133" spans="1:1" s="5" customFormat="1">
      <c r="A133" s="7"/>
    </row>
    <row r="134" spans="1:1" s="5" customFormat="1">
      <c r="A134" s="7"/>
    </row>
    <row r="135" spans="1:1" s="5" customFormat="1">
      <c r="A135" s="7"/>
    </row>
    <row r="136" spans="1:1" s="5" customFormat="1">
      <c r="A136" s="7"/>
    </row>
    <row r="137" spans="1:1" s="5" customFormat="1">
      <c r="A137" s="7"/>
    </row>
    <row r="138" spans="1:1" s="5" customFormat="1">
      <c r="A138" s="7"/>
    </row>
    <row r="139" spans="1:1" s="5" customFormat="1">
      <c r="A139" s="7"/>
    </row>
    <row r="140" spans="1:1" s="5" customFormat="1">
      <c r="A140" s="7"/>
    </row>
    <row r="141" spans="1:1" s="5" customFormat="1">
      <c r="A141" s="7"/>
    </row>
    <row r="142" spans="1:1" s="5" customFormat="1">
      <c r="A142" s="7"/>
    </row>
    <row r="143" spans="1:1" s="5" customFormat="1">
      <c r="A143" s="7"/>
    </row>
    <row r="144" spans="1:1" s="5" customFormat="1">
      <c r="A144" s="7"/>
    </row>
    <row r="145" spans="1:1" s="5" customFormat="1">
      <c r="A145" s="7"/>
    </row>
    <row r="146" spans="1:1" s="5" customFormat="1">
      <c r="A146" s="7"/>
    </row>
    <row r="147" spans="1:1" s="5" customFormat="1">
      <c r="A147" s="7"/>
    </row>
    <row r="148" spans="1:1" s="5" customFormat="1">
      <c r="A148" s="7"/>
    </row>
    <row r="149" spans="1:1" s="5" customFormat="1">
      <c r="A149" s="7"/>
    </row>
    <row r="150" spans="1:1" s="5" customFormat="1">
      <c r="A150" s="7"/>
    </row>
    <row r="151" spans="1:1" s="5" customFormat="1">
      <c r="A151" s="7"/>
    </row>
    <row r="152" spans="1:1" s="5" customFormat="1">
      <c r="A152" s="7"/>
    </row>
    <row r="153" spans="1:1" s="5" customFormat="1">
      <c r="A153" s="7"/>
    </row>
    <row r="154" spans="1:1" s="5" customFormat="1">
      <c r="A154" s="7"/>
    </row>
    <row r="155" spans="1:1" s="5" customFormat="1">
      <c r="A155" s="7"/>
    </row>
    <row r="156" spans="1:1" s="5" customFormat="1">
      <c r="A156" s="7"/>
    </row>
    <row r="157" spans="1:1" s="5" customFormat="1">
      <c r="A157" s="7"/>
    </row>
    <row r="158" spans="1:1" s="5" customFormat="1">
      <c r="A158" s="7"/>
    </row>
    <row r="159" spans="1:1" s="5" customFormat="1">
      <c r="A159" s="7"/>
    </row>
    <row r="160" spans="1:1" s="5" customFormat="1">
      <c r="A160" s="7"/>
    </row>
    <row r="161" spans="1:1" s="5" customFormat="1">
      <c r="A161" s="7"/>
    </row>
    <row r="162" spans="1:1" s="5" customFormat="1">
      <c r="A162" s="7"/>
    </row>
    <row r="163" spans="1:1" s="5" customFormat="1">
      <c r="A163" s="7"/>
    </row>
    <row r="164" spans="1:1" s="5" customFormat="1">
      <c r="A164" s="7"/>
    </row>
    <row r="165" spans="1:1" s="5" customFormat="1">
      <c r="A165" s="7"/>
    </row>
    <row r="166" spans="1:1" s="5" customFormat="1">
      <c r="A166" s="7"/>
    </row>
    <row r="167" spans="1:1" s="5" customFormat="1">
      <c r="A167" s="7"/>
    </row>
    <row r="168" spans="1:1" s="5" customFormat="1">
      <c r="A168" s="7"/>
    </row>
    <row r="169" spans="1:1" s="5" customFormat="1">
      <c r="A169" s="7"/>
    </row>
    <row r="170" spans="1:1" s="5" customFormat="1">
      <c r="A170" s="7"/>
    </row>
    <row r="171" spans="1:1" s="5" customFormat="1">
      <c r="A171" s="7"/>
    </row>
    <row r="172" spans="1:1" s="5" customFormat="1">
      <c r="A172" s="7"/>
    </row>
    <row r="173" spans="1:1" s="5" customFormat="1">
      <c r="A173" s="7"/>
    </row>
    <row r="174" spans="1:1" s="5" customFormat="1">
      <c r="A174" s="7"/>
    </row>
    <row r="175" spans="1:1" s="5" customFormat="1">
      <c r="A175" s="7"/>
    </row>
    <row r="176" spans="1:1" s="5" customFormat="1">
      <c r="A176" s="7"/>
    </row>
    <row r="177" spans="1:1" s="5" customFormat="1">
      <c r="A177" s="7"/>
    </row>
    <row r="178" spans="1:1" s="5" customFormat="1">
      <c r="A178" s="7"/>
    </row>
    <row r="179" spans="1:1" s="5" customFormat="1">
      <c r="A179" s="7"/>
    </row>
    <row r="180" spans="1:1" s="5" customFormat="1">
      <c r="A180" s="7"/>
    </row>
    <row r="181" spans="1:1" s="5" customFormat="1">
      <c r="A181" s="7"/>
    </row>
    <row r="182" spans="1:1" s="5" customFormat="1">
      <c r="A182" s="7"/>
    </row>
    <row r="183" spans="1:1" s="5" customFormat="1">
      <c r="A183" s="7"/>
    </row>
    <row r="184" spans="1:1" s="5" customFormat="1">
      <c r="A184" s="7"/>
    </row>
    <row r="185" spans="1:1" s="5" customFormat="1">
      <c r="A185" s="7"/>
    </row>
    <row r="186" spans="1:1" s="5" customFormat="1">
      <c r="A186" s="7"/>
    </row>
    <row r="187" spans="1:1" s="5" customFormat="1">
      <c r="A187" s="7"/>
    </row>
    <row r="188" spans="1:1" s="5" customFormat="1">
      <c r="A188" s="7"/>
    </row>
    <row r="189" spans="1:1" s="5" customFormat="1">
      <c r="A189" s="7"/>
    </row>
    <row r="190" spans="1:1" s="5" customFormat="1">
      <c r="A190" s="7"/>
    </row>
    <row r="191" spans="1:1" s="5" customFormat="1">
      <c r="A191" s="7"/>
    </row>
    <row r="192" spans="1:1" s="5" customFormat="1">
      <c r="A192" s="7"/>
    </row>
    <row r="193" spans="1:1" s="5" customFormat="1">
      <c r="A193" s="7"/>
    </row>
    <row r="194" spans="1:1" s="5" customFormat="1">
      <c r="A194" s="7"/>
    </row>
    <row r="195" spans="1:1" s="5" customFormat="1">
      <c r="A195" s="7"/>
    </row>
    <row r="196" spans="1:1" s="5" customFormat="1">
      <c r="A196" s="7"/>
    </row>
    <row r="197" spans="1:1" s="5" customFormat="1">
      <c r="A197" s="7"/>
    </row>
    <row r="198" spans="1:1" s="5" customFormat="1">
      <c r="A198" s="7"/>
    </row>
    <row r="199" spans="1:1" s="5" customFormat="1">
      <c r="A199" s="7"/>
    </row>
    <row r="200" spans="1:1" s="5" customFormat="1">
      <c r="A200" s="7"/>
    </row>
    <row r="201" spans="1:1" s="5" customFormat="1">
      <c r="A201" s="7"/>
    </row>
    <row r="202" spans="1:1" s="5" customFormat="1">
      <c r="A202" s="7"/>
    </row>
    <row r="203" spans="1:1" s="5" customFormat="1">
      <c r="A203" s="7"/>
    </row>
    <row r="204" spans="1:1" s="5" customFormat="1">
      <c r="A204" s="7"/>
    </row>
    <row r="205" spans="1:1" s="5" customFormat="1">
      <c r="A205" s="7"/>
    </row>
    <row r="206" spans="1:1" s="5" customFormat="1">
      <c r="A206" s="7"/>
    </row>
    <row r="207" spans="1:1" s="5" customFormat="1">
      <c r="A207" s="7"/>
    </row>
    <row r="208" spans="1:1" s="5" customFormat="1">
      <c r="A208" s="7"/>
    </row>
    <row r="209" spans="1:21" s="5" customFormat="1">
      <c r="A209" s="7"/>
    </row>
    <row r="210" spans="1:21" s="5" customFormat="1">
      <c r="A210" s="7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:21" s="5" customFormat="1">
      <c r="A211" s="7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:21" s="5" customFormat="1">
      <c r="A212" s="7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:21" s="5" customFormat="1">
      <c r="A213" s="7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:21" s="5" customFormat="1">
      <c r="A214" s="7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1:21" s="5" customFormat="1">
      <c r="A215" s="7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1:21" s="5" customFormat="1">
      <c r="A216" s="7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1:21" s="5" customFormat="1">
      <c r="A217" s="7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1:21" s="5" customFormat="1">
      <c r="A218" s="7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1:21" s="5" customFormat="1">
      <c r="A219" s="7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1:21" s="5" customFormat="1">
      <c r="A220" s="7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</row>
    <row r="221" spans="1:21" s="5" customFormat="1">
      <c r="A221" s="7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</row>
    <row r="222" spans="1:21" s="5" customFormat="1">
      <c r="A222" s="7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</row>
    <row r="223" spans="1:21" s="5" customFormat="1">
      <c r="A223" s="7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</row>
    <row r="224" spans="1:21" s="5" customFormat="1">
      <c r="A224" s="7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</row>
    <row r="225" spans="1:21" s="5" customFormat="1">
      <c r="A225" s="7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</row>
    <row r="226" spans="1:21" s="5" customFormat="1">
      <c r="A226" s="7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</row>
    <row r="227" spans="1:21" s="5" customFormat="1">
      <c r="A227" s="7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</row>
    <row r="228" spans="1:21" s="5" customFormat="1">
      <c r="A228" s="7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</row>
    <row r="229" spans="1:21" s="5" customFormat="1">
      <c r="A229" s="7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</row>
    <row r="230" spans="1:21" s="5" customFormat="1">
      <c r="A230" s="7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</row>
    <row r="231" spans="1:21" s="5" customFormat="1">
      <c r="A231" s="7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</row>
    <row r="232" spans="1:21" s="5" customFormat="1">
      <c r="A232" s="7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:21" s="5" customFormat="1">
      <c r="A233" s="7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</row>
    <row r="234" spans="1:21" s="5" customFormat="1">
      <c r="A234" s="7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</row>
    <row r="235" spans="1:21" s="5" customFormat="1">
      <c r="A235" s="7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:21" s="5" customFormat="1">
      <c r="A236" s="7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:21" s="5" customFormat="1">
      <c r="A237" s="7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</row>
    <row r="238" spans="1:21" s="5" customFormat="1">
      <c r="A238" s="7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</row>
    <row r="239" spans="1:21" s="5" customFormat="1">
      <c r="A239" s="7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</row>
    <row r="240" spans="1:21" s="5" customFormat="1">
      <c r="A240" s="7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</row>
    <row r="241" spans="1:21" s="5" customFormat="1">
      <c r="A241" s="7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</row>
    <row r="242" spans="1:21" s="5" customFormat="1">
      <c r="A242" s="7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</row>
    <row r="243" spans="1:21" s="5" customFormat="1">
      <c r="A243" s="7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</row>
    <row r="244" spans="1:21" s="5" customFormat="1">
      <c r="A244" s="7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</row>
    <row r="245" spans="1:21" s="5" customFormat="1">
      <c r="A245" s="7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</row>
    <row r="246" spans="1:21" s="5" customFormat="1">
      <c r="A246" s="7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</row>
    <row r="247" spans="1:21" s="5" customFormat="1">
      <c r="A247" s="7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</row>
    <row r="248" spans="1:21" s="5" customFormat="1">
      <c r="A248" s="7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</row>
    <row r="249" spans="1:21" s="5" customFormat="1">
      <c r="A249" s="7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</row>
    <row r="250" spans="1:21" s="5" customFormat="1">
      <c r="A250" s="7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</row>
    <row r="251" spans="1:21" s="5" customFormat="1">
      <c r="A251" s="7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</row>
    <row r="252" spans="1:21" s="5" customFormat="1">
      <c r="A252" s="7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</row>
    <row r="253" spans="1:21" s="5" customFormat="1">
      <c r="A253" s="7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</row>
    <row r="254" spans="1:21" s="5" customFormat="1">
      <c r="A254" s="7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</row>
    <row r="255" spans="1:21" s="5" customFormat="1">
      <c r="A255" s="7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</row>
    <row r="256" spans="1:21" s="5" customFormat="1">
      <c r="A256" s="7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</row>
    <row r="257" spans="1:21" s="5" customFormat="1">
      <c r="A257" s="7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</row>
    <row r="258" spans="1:21" s="5" customFormat="1">
      <c r="A258" s="7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</row>
    <row r="259" spans="1:21" s="5" customFormat="1">
      <c r="A259" s="7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</row>
    <row r="260" spans="1:21" s="5" customFormat="1">
      <c r="A260" s="7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</row>
    <row r="261" spans="1:21" s="5" customFormat="1">
      <c r="A261" s="7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</row>
    <row r="262" spans="1:21" s="5" customFormat="1">
      <c r="A262" s="7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</row>
    <row r="263" spans="1:21" s="5" customFormat="1">
      <c r="A263" s="7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</row>
    <row r="264" spans="1:21" s="5" customFormat="1">
      <c r="A264" s="7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</row>
    <row r="265" spans="1:21" s="5" customFormat="1">
      <c r="A265" s="7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</row>
    <row r="266" spans="1:21" s="5" customFormat="1">
      <c r="A266" s="7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</row>
    <row r="267" spans="1:21" s="5" customFormat="1">
      <c r="A267" s="7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</row>
    <row r="268" spans="1:21" s="5" customFormat="1">
      <c r="A268" s="7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</row>
    <row r="269" spans="1:21" s="5" customFormat="1">
      <c r="A269" s="7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</row>
    <row r="270" spans="1:21" s="5" customFormat="1">
      <c r="A270" s="7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</row>
    <row r="271" spans="1:21" s="5" customFormat="1">
      <c r="A271" s="7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</row>
    <row r="272" spans="1:21" s="5" customFormat="1">
      <c r="A272" s="7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</row>
    <row r="273" spans="1:21" s="5" customFormat="1">
      <c r="A273" s="7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</row>
    <row r="274" spans="1:21" s="5" customFormat="1">
      <c r="A274" s="7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</row>
    <row r="275" spans="1:21" s="5" customFormat="1">
      <c r="A275" s="7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</row>
    <row r="276" spans="1:21" s="5" customFormat="1">
      <c r="A276" s="7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</row>
    <row r="277" spans="1:21" s="5" customFormat="1">
      <c r="A277" s="7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</row>
    <row r="278" spans="1:21" s="5" customFormat="1">
      <c r="A278" s="7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</row>
    <row r="279" spans="1:21" s="5" customFormat="1">
      <c r="A279" s="7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</row>
    <row r="280" spans="1:21" s="5" customFormat="1">
      <c r="A280" s="7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</row>
    <row r="281" spans="1:21" s="5" customFormat="1">
      <c r="A281" s="7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</row>
    <row r="282" spans="1:21" s="5" customFormat="1">
      <c r="A282" s="7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</row>
    <row r="283" spans="1:21" s="5" customFormat="1">
      <c r="A283" s="7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</row>
    <row r="284" spans="1:21" s="5" customFormat="1">
      <c r="A284" s="7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</row>
    <row r="285" spans="1:21" s="5" customFormat="1">
      <c r="A285" s="7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</row>
    <row r="286" spans="1:21" s="5" customFormat="1">
      <c r="A286" s="7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</row>
    <row r="287" spans="1:21" s="5" customFormat="1">
      <c r="A287" s="7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</row>
    <row r="288" spans="1:21" s="5" customFormat="1">
      <c r="A288" s="7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</row>
    <row r="289" spans="1:21" s="5" customFormat="1">
      <c r="A289" s="7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</row>
    <row r="290" spans="1:21" s="5" customFormat="1">
      <c r="A290" s="7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</row>
    <row r="291" spans="1:21" s="5" customFormat="1">
      <c r="A291" s="7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</row>
    <row r="292" spans="1:21" s="5" customFormat="1">
      <c r="A292" s="7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</row>
    <row r="293" spans="1:21" s="5" customFormat="1">
      <c r="A293" s="7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</row>
    <row r="294" spans="1:21" s="5" customFormat="1">
      <c r="A294" s="7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</row>
    <row r="295" spans="1:21" s="5" customFormat="1">
      <c r="A295" s="7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</row>
    <row r="296" spans="1:21" s="5" customFormat="1">
      <c r="A296" s="7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</row>
    <row r="297" spans="1:21" s="5" customFormat="1">
      <c r="A297" s="7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</row>
    <row r="298" spans="1:21" s="5" customFormat="1">
      <c r="A298" s="7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</row>
    <row r="299" spans="1:21" s="5" customFormat="1">
      <c r="A299" s="7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</row>
    <row r="300" spans="1:21" s="5" customFormat="1">
      <c r="A300" s="7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</row>
    <row r="301" spans="1:21" s="5" customFormat="1">
      <c r="A301" s="7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</row>
    <row r="302" spans="1:21" s="5" customFormat="1">
      <c r="A302" s="7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</row>
    <row r="303" spans="1:21" s="5" customFormat="1">
      <c r="A303" s="7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</row>
    <row r="304" spans="1:21" s="5" customFormat="1">
      <c r="A304" s="7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</row>
    <row r="305" spans="1:21" s="5" customFormat="1">
      <c r="A305" s="7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</row>
    <row r="306" spans="1:21" s="5" customFormat="1">
      <c r="A306" s="7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</row>
    <row r="307" spans="1:21" s="5" customFormat="1">
      <c r="A307" s="7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</row>
    <row r="308" spans="1:21" s="5" customFormat="1">
      <c r="A308" s="7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</row>
    <row r="309" spans="1:21" s="5" customFormat="1">
      <c r="A309" s="7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</row>
    <row r="310" spans="1:21" s="5" customFormat="1">
      <c r="A310" s="7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</row>
    <row r="311" spans="1:21" s="5" customFormat="1">
      <c r="A311" s="7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</row>
    <row r="312" spans="1:21" s="5" customFormat="1">
      <c r="A312" s="7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</row>
    <row r="313" spans="1:21" s="5" customFormat="1">
      <c r="A313" s="7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</row>
    <row r="314" spans="1:21" s="5" customFormat="1">
      <c r="A314" s="7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</row>
    <row r="315" spans="1:21" s="5" customFormat="1">
      <c r="A315" s="7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</row>
    <row r="316" spans="1:21" s="5" customFormat="1">
      <c r="A316" s="7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</row>
    <row r="317" spans="1:21" s="5" customFormat="1">
      <c r="A317" s="7"/>
      <c r="T317" s="8"/>
      <c r="U317" s="8"/>
    </row>
    <row r="318" spans="1:21" s="5" customFormat="1">
      <c r="A318" s="7"/>
      <c r="T318" s="8"/>
      <c r="U318" s="8"/>
    </row>
    <row r="319" spans="1:21" s="5" customFormat="1">
      <c r="A319" s="7"/>
      <c r="T319" s="8"/>
      <c r="U319" s="8"/>
    </row>
    <row r="320" spans="1:21" s="5" customFormat="1">
      <c r="A320" s="7"/>
      <c r="T320" s="8"/>
      <c r="U320" s="8"/>
    </row>
    <row r="321" spans="1:21" s="5" customFormat="1">
      <c r="A321" s="7"/>
      <c r="T321" s="8"/>
      <c r="U321" s="8"/>
    </row>
    <row r="322" spans="1:21" s="5" customFormat="1">
      <c r="A322" s="7"/>
      <c r="T322" s="8"/>
      <c r="U322" s="8"/>
    </row>
    <row r="323" spans="1:21" s="5" customFormat="1">
      <c r="A323" s="7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</row>
    <row r="324" spans="1:21" s="5" customFormat="1">
      <c r="A324" s="7"/>
      <c r="T324" s="8"/>
      <c r="U324" s="8"/>
    </row>
    <row r="325" spans="1:21" s="5" customFormat="1">
      <c r="A325" s="7"/>
      <c r="T325" s="8"/>
      <c r="U325" s="8"/>
    </row>
    <row r="326" spans="1:21" s="5" customFormat="1">
      <c r="A326" s="7"/>
      <c r="T326" s="8"/>
      <c r="U326" s="8"/>
    </row>
    <row r="327" spans="1:21" s="5" customFormat="1">
      <c r="A327" s="7"/>
      <c r="T327" s="8"/>
      <c r="U327" s="8"/>
    </row>
    <row r="328" spans="1:21" s="5" customFormat="1">
      <c r="A328" s="7"/>
      <c r="T328" s="8"/>
      <c r="U328" s="8"/>
    </row>
    <row r="329" spans="1:21" s="5" customFormat="1">
      <c r="A329" s="7"/>
      <c r="T329" s="8"/>
      <c r="U329" s="8"/>
    </row>
    <row r="330" spans="1:21" s="5" customFormat="1">
      <c r="A330" s="7"/>
      <c r="T330" s="8"/>
      <c r="U330" s="8"/>
    </row>
    <row r="331" spans="1:21" s="5" customFormat="1">
      <c r="A331" s="7"/>
      <c r="T331" s="8"/>
      <c r="U331" s="8"/>
    </row>
    <row r="332" spans="1:21" s="5" customFormat="1">
      <c r="A332" s="7"/>
      <c r="T332" s="8"/>
      <c r="U332" s="8"/>
    </row>
    <row r="333" spans="1:21" s="5" customFormat="1">
      <c r="A333" s="7"/>
      <c r="T333" s="8"/>
      <c r="U333" s="8"/>
    </row>
    <row r="334" spans="1:21" s="5" customFormat="1">
      <c r="A334" s="7"/>
      <c r="T334" s="8"/>
      <c r="U334" s="8"/>
    </row>
    <row r="335" spans="1:21" s="5" customFormat="1">
      <c r="A335" s="7"/>
      <c r="T335" s="8"/>
      <c r="U335" s="8"/>
    </row>
    <row r="336" spans="1:21" s="5" customFormat="1">
      <c r="A336" s="7"/>
      <c r="T336" s="8"/>
      <c r="U336" s="8"/>
    </row>
    <row r="337" spans="1:21" s="5" customFormat="1">
      <c r="A337" s="7"/>
      <c r="T337" s="8"/>
      <c r="U337" s="8"/>
    </row>
    <row r="338" spans="1:21" s="5" customFormat="1">
      <c r="A338" s="7"/>
      <c r="T338" s="8"/>
      <c r="U338" s="8"/>
    </row>
    <row r="339" spans="1:21" s="5" customFormat="1">
      <c r="A339" s="7"/>
      <c r="T339" s="8"/>
      <c r="U339" s="8"/>
    </row>
    <row r="340" spans="1:21" s="5" customFormat="1">
      <c r="A340" s="7"/>
      <c r="T340" s="8"/>
      <c r="U340" s="8"/>
    </row>
    <row r="341" spans="1:21" s="5" customFormat="1">
      <c r="A341" s="7"/>
      <c r="T341" s="8"/>
      <c r="U341" s="8"/>
    </row>
    <row r="342" spans="1:21" s="5" customFormat="1">
      <c r="A342" s="7"/>
      <c r="T342" s="8"/>
      <c r="U342" s="8"/>
    </row>
    <row r="343" spans="1:21" s="5" customFormat="1">
      <c r="A343" s="7"/>
      <c r="T343" s="8"/>
      <c r="U343" s="8"/>
    </row>
    <row r="344" spans="1:21" s="5" customFormat="1">
      <c r="A344" s="7"/>
      <c r="T344" s="8"/>
      <c r="U344" s="8"/>
    </row>
    <row r="345" spans="1:21" s="5" customFormat="1">
      <c r="A345" s="7"/>
      <c r="T345" s="8"/>
      <c r="U345" s="8"/>
    </row>
    <row r="346" spans="1:21" s="5" customFormat="1">
      <c r="A346" s="7"/>
      <c r="T346" s="8"/>
      <c r="U346" s="8"/>
    </row>
    <row r="347" spans="1:21" s="5" customFormat="1">
      <c r="A347" s="7"/>
      <c r="T347" s="8"/>
      <c r="U347" s="8"/>
    </row>
    <row r="348" spans="1:21" s="5" customFormat="1">
      <c r="A348" s="7"/>
      <c r="T348" s="8"/>
      <c r="U348" s="8"/>
    </row>
    <row r="349" spans="1:21" s="5" customFormat="1">
      <c r="A349" s="7"/>
      <c r="T349" s="8"/>
      <c r="U349" s="8"/>
    </row>
    <row r="350" spans="1:21" s="5" customFormat="1">
      <c r="A350" s="7"/>
      <c r="T350" s="8"/>
      <c r="U350" s="8"/>
    </row>
    <row r="351" spans="1:21" s="5" customFormat="1">
      <c r="A351" s="7"/>
      <c r="T351" s="8"/>
      <c r="U351" s="8"/>
    </row>
    <row r="352" spans="1:21" s="5" customFormat="1">
      <c r="A352" s="7"/>
      <c r="T352" s="8"/>
      <c r="U352" s="8"/>
    </row>
    <row r="353" spans="1:21" s="5" customFormat="1">
      <c r="A353" s="7"/>
      <c r="T353" s="8"/>
      <c r="U353" s="8"/>
    </row>
    <row r="354" spans="1:21" s="5" customFormat="1">
      <c r="A354" s="7"/>
      <c r="T354" s="8"/>
      <c r="U354" s="8"/>
    </row>
    <row r="355" spans="1:21" s="5" customFormat="1">
      <c r="A355" s="7"/>
      <c r="T355" s="8"/>
      <c r="U355" s="8"/>
    </row>
    <row r="356" spans="1:21" s="5" customFormat="1">
      <c r="A356" s="7"/>
      <c r="T356" s="8"/>
      <c r="U356" s="8"/>
    </row>
    <row r="357" spans="1:21" s="5" customFormat="1">
      <c r="A357" s="7"/>
      <c r="T357" s="8"/>
      <c r="U357" s="8"/>
    </row>
    <row r="358" spans="1:21" s="5" customFormat="1">
      <c r="A358" s="7"/>
      <c r="T358" s="8"/>
      <c r="U358" s="8"/>
    </row>
    <row r="359" spans="1:21" s="5" customFormat="1">
      <c r="A359" s="7"/>
      <c r="T359" s="8"/>
      <c r="U359" s="8"/>
    </row>
    <row r="360" spans="1:21" s="5" customFormat="1">
      <c r="A360" s="7"/>
      <c r="T360" s="8"/>
      <c r="U360" s="8"/>
    </row>
    <row r="361" spans="1:21" s="5" customFormat="1">
      <c r="A361" s="7"/>
      <c r="T361" s="8"/>
      <c r="U361" s="8"/>
    </row>
    <row r="362" spans="1:21" s="5" customFormat="1">
      <c r="A362" s="7"/>
      <c r="T362" s="8"/>
      <c r="U362" s="8"/>
    </row>
    <row r="363" spans="1:21" s="5" customFormat="1">
      <c r="A363" s="7"/>
      <c r="T363" s="8"/>
      <c r="U363" s="8"/>
    </row>
    <row r="364" spans="1:21" s="5" customFormat="1">
      <c r="A364" s="7"/>
      <c r="T364" s="8"/>
      <c r="U364" s="8"/>
    </row>
    <row r="365" spans="1:21" s="5" customFormat="1">
      <c r="A365" s="7"/>
      <c r="T365" s="8"/>
      <c r="U365" s="8"/>
    </row>
    <row r="366" spans="1:21" s="5" customFormat="1">
      <c r="A366" s="7"/>
      <c r="T366" s="8"/>
      <c r="U366" s="8"/>
    </row>
    <row r="367" spans="1:21" s="5" customFormat="1">
      <c r="A367" s="7"/>
      <c r="T367" s="8"/>
      <c r="U367" s="8"/>
    </row>
    <row r="368" spans="1:21" s="5" customFormat="1">
      <c r="A368" s="7"/>
      <c r="T368" s="8"/>
      <c r="U368" s="8"/>
    </row>
    <row r="369" spans="1:21" s="5" customFormat="1">
      <c r="A369" s="7"/>
      <c r="T369" s="8"/>
      <c r="U369" s="8"/>
    </row>
    <row r="370" spans="1:21" s="5" customFormat="1">
      <c r="A370" s="7"/>
      <c r="T370" s="8"/>
      <c r="U370" s="8"/>
    </row>
    <row r="371" spans="1:21" s="5" customFormat="1">
      <c r="A371" s="7"/>
      <c r="T371" s="8"/>
      <c r="U371" s="8"/>
    </row>
    <row r="372" spans="1:21" s="5" customFormat="1">
      <c r="A372" s="7"/>
      <c r="T372" s="8"/>
      <c r="U372" s="8"/>
    </row>
    <row r="373" spans="1:21" s="5" customFormat="1">
      <c r="A373" s="7"/>
      <c r="T373" s="8"/>
      <c r="U373" s="8"/>
    </row>
    <row r="374" spans="1:21" s="5" customFormat="1">
      <c r="A374" s="7"/>
      <c r="T374" s="8"/>
      <c r="U374" s="8"/>
    </row>
    <row r="375" spans="1:21" s="5" customFormat="1">
      <c r="A375" s="7"/>
      <c r="T375" s="8"/>
      <c r="U375" s="8"/>
    </row>
    <row r="376" spans="1:21" s="5" customFormat="1">
      <c r="A376" s="7"/>
      <c r="T376" s="8"/>
      <c r="U376" s="8"/>
    </row>
    <row r="377" spans="1:21" s="5" customFormat="1">
      <c r="A377" s="7"/>
      <c r="T377" s="8"/>
      <c r="U377" s="8"/>
    </row>
    <row r="378" spans="1:21" s="5" customFormat="1">
      <c r="A378" s="7"/>
      <c r="T378" s="8"/>
      <c r="U378" s="8"/>
    </row>
    <row r="379" spans="1:21" s="5" customFormat="1">
      <c r="A379" s="7"/>
      <c r="T379" s="8"/>
      <c r="U379" s="8"/>
    </row>
    <row r="380" spans="1:21" s="5" customFormat="1">
      <c r="A380" s="7"/>
      <c r="T380" s="8"/>
      <c r="U380" s="8"/>
    </row>
    <row r="381" spans="1:21" s="5" customFormat="1">
      <c r="A381" s="7"/>
      <c r="T381" s="8"/>
      <c r="U381" s="8"/>
    </row>
    <row r="382" spans="1:21" s="5" customFormat="1">
      <c r="A382" s="7"/>
      <c r="T382" s="8"/>
      <c r="U382" s="8"/>
    </row>
    <row r="383" spans="1:21" s="5" customFormat="1">
      <c r="A383" s="7"/>
      <c r="T383" s="8"/>
      <c r="U383" s="8"/>
    </row>
    <row r="384" spans="1:21" s="5" customFormat="1">
      <c r="A384" s="7"/>
      <c r="T384" s="8"/>
      <c r="U384" s="8"/>
    </row>
    <row r="385" spans="1:21" s="5" customFormat="1">
      <c r="A385" s="7"/>
      <c r="T385" s="8"/>
      <c r="U385" s="8"/>
    </row>
    <row r="386" spans="1:21" s="5" customFormat="1">
      <c r="A386" s="7"/>
      <c r="T386" s="8"/>
      <c r="U386" s="8"/>
    </row>
    <row r="387" spans="1:21" s="5" customFormat="1">
      <c r="A387" s="7"/>
      <c r="T387" s="8"/>
      <c r="U387" s="8"/>
    </row>
    <row r="388" spans="1:21" s="5" customFormat="1">
      <c r="A388" s="7"/>
      <c r="T388" s="8"/>
      <c r="U388" s="8"/>
    </row>
    <row r="389" spans="1:21" s="5" customFormat="1">
      <c r="A389" s="7"/>
      <c r="T389" s="8"/>
      <c r="U389" s="8"/>
    </row>
    <row r="390" spans="1:21" s="5" customFormat="1">
      <c r="A390" s="7"/>
      <c r="T390" s="8"/>
      <c r="U390" s="8"/>
    </row>
    <row r="391" spans="1:21" s="5" customFormat="1">
      <c r="A391" s="7"/>
      <c r="T391" s="8"/>
      <c r="U391" s="8"/>
    </row>
    <row r="392" spans="1:21" s="5" customFormat="1">
      <c r="A392" s="7"/>
      <c r="T392" s="8"/>
      <c r="U392" s="8"/>
    </row>
    <row r="393" spans="1:21" s="5" customFormat="1">
      <c r="A393" s="7"/>
      <c r="T393" s="8"/>
      <c r="U393" s="8"/>
    </row>
    <row r="394" spans="1:21" s="5" customFormat="1">
      <c r="A394" s="7"/>
      <c r="T394" s="8"/>
      <c r="U394" s="8"/>
    </row>
    <row r="395" spans="1:21" s="5" customFormat="1">
      <c r="A395" s="7"/>
      <c r="T395" s="8"/>
      <c r="U395" s="8"/>
    </row>
    <row r="396" spans="1:21" s="5" customFormat="1">
      <c r="A396" s="7"/>
      <c r="T396" s="8"/>
      <c r="U396" s="8"/>
    </row>
    <row r="397" spans="1:21" s="5" customFormat="1">
      <c r="A397" s="7"/>
      <c r="T397" s="8"/>
      <c r="U397" s="8"/>
    </row>
    <row r="398" spans="1:21" s="5" customFormat="1">
      <c r="A398" s="7"/>
      <c r="T398" s="8"/>
      <c r="U398" s="8"/>
    </row>
    <row r="399" spans="1:21" s="5" customFormat="1">
      <c r="A399" s="7"/>
      <c r="T399" s="8"/>
      <c r="U399" s="8"/>
    </row>
    <row r="400" spans="1:21" s="5" customFormat="1">
      <c r="A400" s="7"/>
      <c r="T400" s="8"/>
      <c r="U400" s="8"/>
    </row>
    <row r="401" spans="1:21" s="5" customFormat="1">
      <c r="A401" s="7"/>
      <c r="T401" s="8"/>
      <c r="U401" s="8"/>
    </row>
    <row r="402" spans="1:21" s="5" customFormat="1">
      <c r="A402" s="7"/>
      <c r="T402" s="8"/>
      <c r="U402" s="8"/>
    </row>
    <row r="403" spans="1:21" s="5" customFormat="1">
      <c r="A403" s="7"/>
      <c r="T403" s="8"/>
      <c r="U403" s="8"/>
    </row>
    <row r="404" spans="1:21" s="5" customFormat="1">
      <c r="A404" s="7"/>
      <c r="T404" s="8"/>
      <c r="U404" s="8"/>
    </row>
    <row r="405" spans="1:21" s="5" customFormat="1">
      <c r="A405" s="7"/>
      <c r="T405" s="8"/>
      <c r="U405" s="8"/>
    </row>
    <row r="406" spans="1:21" s="5" customFormat="1">
      <c r="A406" s="7"/>
      <c r="T406" s="8"/>
      <c r="U406" s="8"/>
    </row>
    <row r="407" spans="1:21" s="5" customFormat="1">
      <c r="A407" s="7"/>
      <c r="T407" s="8"/>
      <c r="U407" s="8"/>
    </row>
    <row r="408" spans="1:21" s="5" customFormat="1">
      <c r="A408" s="7"/>
      <c r="T408" s="8"/>
      <c r="U408" s="8"/>
    </row>
    <row r="409" spans="1:21" s="5" customFormat="1">
      <c r="A409" s="7"/>
      <c r="T409" s="8"/>
      <c r="U409" s="8"/>
    </row>
    <row r="410" spans="1:21" s="5" customFormat="1">
      <c r="A410" s="7"/>
      <c r="T410" s="8"/>
      <c r="U410" s="8"/>
    </row>
    <row r="411" spans="1:21" s="5" customFormat="1">
      <c r="A411" s="7"/>
      <c r="T411" s="8"/>
      <c r="U411" s="8"/>
    </row>
    <row r="412" spans="1:21" s="5" customFormat="1">
      <c r="A412" s="7"/>
      <c r="T412" s="8"/>
      <c r="U412" s="8"/>
    </row>
    <row r="413" spans="1:21" s="5" customFormat="1">
      <c r="A413" s="7"/>
      <c r="T413" s="8"/>
      <c r="U413" s="8"/>
    </row>
    <row r="414" spans="1:21" s="5" customFormat="1">
      <c r="A414" s="7"/>
      <c r="T414" s="8"/>
      <c r="U414" s="8"/>
    </row>
    <row r="415" spans="1:21" s="5" customFormat="1">
      <c r="A415" s="7"/>
      <c r="T415" s="8"/>
      <c r="U415" s="8"/>
    </row>
    <row r="416" spans="1:21" s="5" customFormat="1">
      <c r="A416" s="7"/>
      <c r="T416" s="8"/>
      <c r="U416" s="8"/>
    </row>
    <row r="417" spans="1:21" s="5" customFormat="1">
      <c r="A417" s="7"/>
      <c r="T417" s="8"/>
      <c r="U417" s="8"/>
    </row>
    <row r="418" spans="1:21" s="5" customFormat="1">
      <c r="A418" s="7"/>
      <c r="T418" s="8"/>
      <c r="U418" s="8"/>
    </row>
    <row r="419" spans="1:21" s="5" customFormat="1">
      <c r="A419" s="7"/>
      <c r="T419" s="8"/>
      <c r="U419" s="8"/>
    </row>
    <row r="420" spans="1:21" s="5" customFormat="1">
      <c r="A420" s="7"/>
      <c r="T420" s="8"/>
      <c r="U420" s="8"/>
    </row>
    <row r="421" spans="1:21" s="5" customFormat="1">
      <c r="A421" s="7"/>
      <c r="T421" s="8"/>
      <c r="U421" s="8"/>
    </row>
    <row r="422" spans="1:21" s="5" customFormat="1">
      <c r="A422" s="7"/>
      <c r="T422" s="8"/>
      <c r="U422" s="8"/>
    </row>
    <row r="423" spans="1:21" s="5" customFormat="1">
      <c r="A423" s="7"/>
      <c r="T423" s="8"/>
      <c r="U423" s="8"/>
    </row>
    <row r="424" spans="1:21" s="5" customFormat="1">
      <c r="A424" s="7"/>
      <c r="T424" s="8"/>
      <c r="U424" s="8"/>
    </row>
    <row r="425" spans="1:21" s="5" customFormat="1">
      <c r="A425" s="7"/>
      <c r="T425" s="8"/>
      <c r="U425" s="8"/>
    </row>
    <row r="426" spans="1:21" s="5" customFormat="1">
      <c r="A426" s="7"/>
      <c r="T426" s="8"/>
      <c r="U426" s="8"/>
    </row>
    <row r="427" spans="1:21" s="5" customFormat="1">
      <c r="A427" s="7"/>
      <c r="T427" s="8"/>
      <c r="U427" s="8"/>
    </row>
    <row r="428" spans="1:21" s="5" customFormat="1">
      <c r="A428" s="7"/>
      <c r="T428" s="8"/>
      <c r="U428" s="8"/>
    </row>
    <row r="429" spans="1:21" s="5" customFormat="1">
      <c r="A429" s="7"/>
      <c r="T429" s="8"/>
      <c r="U429" s="8"/>
    </row>
    <row r="430" spans="1:21" s="5" customFormat="1">
      <c r="A430" s="7"/>
      <c r="T430" s="8"/>
      <c r="U430" s="8"/>
    </row>
    <row r="431" spans="1:21" s="5" customFormat="1">
      <c r="A431" s="7"/>
      <c r="T431" s="8"/>
      <c r="U431" s="8"/>
    </row>
    <row r="432" spans="1:21" s="5" customFormat="1">
      <c r="A432" s="7"/>
      <c r="T432" s="8"/>
      <c r="U432" s="8"/>
    </row>
    <row r="433" spans="1:21" s="5" customFormat="1">
      <c r="A433" s="7"/>
      <c r="T433" s="8"/>
      <c r="U433" s="8"/>
    </row>
    <row r="434" spans="1:21" s="5" customFormat="1">
      <c r="A434" s="7"/>
      <c r="T434" s="8"/>
      <c r="U434" s="8"/>
    </row>
    <row r="435" spans="1:21" s="5" customFormat="1">
      <c r="A435" s="7"/>
      <c r="T435" s="8"/>
      <c r="U435" s="8"/>
    </row>
    <row r="436" spans="1:21" s="5" customFormat="1">
      <c r="A436" s="7"/>
      <c r="T436" s="8"/>
      <c r="U436" s="8"/>
    </row>
    <row r="437" spans="1:21" s="5" customFormat="1">
      <c r="A437" s="7"/>
      <c r="T437" s="8"/>
      <c r="U437" s="8"/>
    </row>
    <row r="438" spans="1:21" s="5" customFormat="1">
      <c r="A438" s="7"/>
      <c r="T438" s="8"/>
      <c r="U438" s="8"/>
    </row>
    <row r="439" spans="1:21" s="5" customFormat="1">
      <c r="A439" s="7"/>
      <c r="T439" s="8"/>
      <c r="U439" s="8"/>
    </row>
    <row r="440" spans="1:21" s="5" customFormat="1">
      <c r="A440" s="7"/>
      <c r="T440" s="8"/>
      <c r="U440" s="8"/>
    </row>
    <row r="441" spans="1:21" s="5" customFormat="1">
      <c r="A441" s="7"/>
      <c r="T441" s="8"/>
      <c r="U441" s="8"/>
    </row>
    <row r="442" spans="1:21" s="5" customFormat="1">
      <c r="A442" s="7"/>
      <c r="T442" s="8"/>
      <c r="U442" s="8"/>
    </row>
    <row r="443" spans="1:21" s="5" customFormat="1">
      <c r="A443" s="7"/>
      <c r="T443" s="8"/>
      <c r="U443" s="8"/>
    </row>
    <row r="444" spans="1:21" s="5" customFormat="1">
      <c r="A444" s="7"/>
      <c r="T444" s="8"/>
      <c r="U444" s="8"/>
    </row>
    <row r="445" spans="1:21" s="5" customFormat="1">
      <c r="A445" s="7"/>
      <c r="T445" s="8"/>
      <c r="U445" s="8"/>
    </row>
    <row r="446" spans="1:21" s="5" customFormat="1">
      <c r="A446" s="7"/>
      <c r="T446" s="8"/>
      <c r="U446" s="8"/>
    </row>
    <row r="447" spans="1:21" s="5" customFormat="1">
      <c r="A447" s="7"/>
      <c r="T447" s="8"/>
      <c r="U447" s="8"/>
    </row>
    <row r="448" spans="1:21" s="5" customFormat="1">
      <c r="A448" s="7"/>
      <c r="T448" s="8"/>
      <c r="U448" s="8"/>
    </row>
    <row r="449" spans="1:21" s="5" customFormat="1">
      <c r="A449" s="7"/>
      <c r="T449" s="8"/>
      <c r="U449" s="8"/>
    </row>
    <row r="450" spans="1:21" s="5" customFormat="1">
      <c r="A450" s="7"/>
      <c r="T450" s="8"/>
      <c r="U450" s="8"/>
    </row>
    <row r="451" spans="1:21" s="5" customFormat="1">
      <c r="A451" s="7"/>
      <c r="T451" s="8"/>
      <c r="U451" s="8"/>
    </row>
    <row r="452" spans="1:21" s="5" customFormat="1">
      <c r="A452" s="7"/>
      <c r="T452" s="8"/>
      <c r="U452" s="8"/>
    </row>
    <row r="453" spans="1:21" s="5" customFormat="1">
      <c r="A453" s="7"/>
      <c r="T453" s="8"/>
      <c r="U453" s="8"/>
    </row>
    <row r="454" spans="1:21" s="5" customFormat="1">
      <c r="A454" s="7"/>
      <c r="T454" s="8"/>
      <c r="U454" s="8"/>
    </row>
    <row r="455" spans="1:21" s="5" customFormat="1">
      <c r="A455" s="7"/>
      <c r="T455" s="8"/>
      <c r="U455" s="8"/>
    </row>
    <row r="456" spans="1:21" s="5" customFormat="1">
      <c r="A456" s="7"/>
      <c r="T456" s="8"/>
      <c r="U456" s="8"/>
    </row>
    <row r="457" spans="1:21" s="5" customFormat="1">
      <c r="A457" s="7"/>
      <c r="T457" s="8"/>
      <c r="U457" s="8"/>
    </row>
    <row r="458" spans="1:21" s="5" customFormat="1">
      <c r="A458" s="7"/>
      <c r="T458" s="8"/>
      <c r="U458" s="8"/>
    </row>
    <row r="459" spans="1:21" s="5" customFormat="1">
      <c r="A459" s="7"/>
      <c r="T459" s="8"/>
      <c r="U459" s="8"/>
    </row>
    <row r="460" spans="1:21" s="5" customFormat="1">
      <c r="A460" s="7"/>
      <c r="T460" s="8"/>
      <c r="U460" s="8"/>
    </row>
    <row r="461" spans="1:21" s="5" customFormat="1">
      <c r="A461" s="7"/>
      <c r="T461" s="8"/>
      <c r="U461" s="8"/>
    </row>
    <row r="462" spans="1:21" s="5" customFormat="1">
      <c r="A462" s="7"/>
      <c r="T462" s="8"/>
      <c r="U462" s="8"/>
    </row>
    <row r="463" spans="1:21" s="5" customFormat="1">
      <c r="A463" s="7"/>
      <c r="T463" s="8"/>
      <c r="U463" s="8"/>
    </row>
    <row r="464" spans="1:21" s="5" customFormat="1">
      <c r="A464" s="7"/>
      <c r="T464" s="8"/>
      <c r="U464" s="8"/>
    </row>
    <row r="465" spans="1:21" s="5" customFormat="1">
      <c r="A465" s="7"/>
      <c r="T465" s="8"/>
      <c r="U465" s="8"/>
    </row>
    <row r="466" spans="1:21" s="5" customFormat="1">
      <c r="A466" s="7"/>
      <c r="T466" s="8"/>
      <c r="U466" s="8"/>
    </row>
    <row r="467" spans="1:21" s="5" customFormat="1">
      <c r="A467" s="7"/>
      <c r="T467" s="8"/>
      <c r="U467" s="8"/>
    </row>
    <row r="468" spans="1:21" s="5" customFormat="1">
      <c r="A468" s="7"/>
      <c r="T468" s="8"/>
      <c r="U468" s="8"/>
    </row>
    <row r="469" spans="1:21" s="5" customFormat="1">
      <c r="A469" s="7"/>
      <c r="T469" s="8"/>
      <c r="U469" s="8"/>
    </row>
    <row r="470" spans="1:21" s="5" customFormat="1">
      <c r="A470" s="7"/>
      <c r="T470" s="8"/>
      <c r="U470" s="8"/>
    </row>
    <row r="471" spans="1:21" s="5" customFormat="1">
      <c r="A471" s="7"/>
      <c r="T471" s="8"/>
      <c r="U471" s="8"/>
    </row>
    <row r="472" spans="1:21" s="5" customFormat="1">
      <c r="A472" s="7"/>
      <c r="T472" s="8"/>
      <c r="U472" s="8"/>
    </row>
    <row r="473" spans="1:21" s="5" customFormat="1">
      <c r="A473" s="7"/>
      <c r="T473" s="8"/>
      <c r="U473" s="8"/>
    </row>
    <row r="474" spans="1:21" s="5" customFormat="1">
      <c r="A474" s="7"/>
      <c r="T474" s="8"/>
      <c r="U474" s="8"/>
    </row>
    <row r="475" spans="1:21" s="5" customFormat="1">
      <c r="A475" s="7"/>
      <c r="T475" s="8"/>
      <c r="U475" s="8"/>
    </row>
    <row r="476" spans="1:21" s="5" customFormat="1">
      <c r="A476" s="7"/>
      <c r="T476" s="8"/>
      <c r="U476" s="8"/>
    </row>
    <row r="477" spans="1:21" s="5" customFormat="1">
      <c r="A477" s="7"/>
      <c r="T477" s="8"/>
      <c r="U477" s="8"/>
    </row>
    <row r="478" spans="1:21" s="5" customFormat="1">
      <c r="A478" s="7"/>
      <c r="T478" s="8"/>
      <c r="U478" s="8"/>
    </row>
    <row r="479" spans="1:21" s="5" customFormat="1">
      <c r="A479" s="7"/>
      <c r="T479" s="8"/>
      <c r="U479" s="8"/>
    </row>
    <row r="480" spans="1:21" s="5" customFormat="1">
      <c r="A480" s="7"/>
      <c r="T480" s="8"/>
      <c r="U480" s="8"/>
    </row>
    <row r="481" spans="1:21" s="5" customFormat="1">
      <c r="A481" s="7"/>
      <c r="T481" s="8"/>
      <c r="U481" s="8"/>
    </row>
    <row r="482" spans="1:21" s="5" customFormat="1">
      <c r="A482" s="7"/>
      <c r="T482" s="8"/>
      <c r="U482" s="8"/>
    </row>
    <row r="483" spans="1:21" s="5" customFormat="1">
      <c r="A483" s="7"/>
      <c r="T483" s="8"/>
      <c r="U483" s="8"/>
    </row>
    <row r="484" spans="1:21" s="5" customFormat="1">
      <c r="A484" s="7"/>
      <c r="T484" s="8"/>
      <c r="U484" s="8"/>
    </row>
    <row r="485" spans="1:21" s="5" customFormat="1">
      <c r="A485" s="7"/>
      <c r="T485" s="8"/>
      <c r="U485" s="8"/>
    </row>
    <row r="486" spans="1:21" s="5" customFormat="1">
      <c r="A486" s="7"/>
      <c r="T486" s="8"/>
      <c r="U486" s="8"/>
    </row>
    <row r="487" spans="1:21" s="5" customFormat="1">
      <c r="A487" s="7"/>
      <c r="T487" s="8"/>
      <c r="U487" s="8"/>
    </row>
    <row r="488" spans="1:21" s="5" customFormat="1">
      <c r="A488" s="7"/>
      <c r="T488" s="8"/>
      <c r="U488" s="8"/>
    </row>
    <row r="489" spans="1:21" s="5" customFormat="1">
      <c r="A489" s="7"/>
      <c r="T489" s="8"/>
      <c r="U489" s="8"/>
    </row>
    <row r="490" spans="1:21" s="5" customFormat="1">
      <c r="A490" s="7"/>
      <c r="T490" s="8"/>
      <c r="U490" s="8"/>
    </row>
    <row r="491" spans="1:21" s="5" customFormat="1">
      <c r="A491" s="7"/>
      <c r="T491" s="8"/>
      <c r="U491" s="8"/>
    </row>
    <row r="492" spans="1:21" s="5" customFormat="1">
      <c r="A492" s="7"/>
      <c r="T492" s="8"/>
      <c r="U492" s="8"/>
    </row>
    <row r="493" spans="1:21" s="5" customFormat="1">
      <c r="A493" s="7"/>
      <c r="T493" s="8"/>
      <c r="U493" s="8"/>
    </row>
    <row r="494" spans="1:21" s="5" customFormat="1">
      <c r="A494" s="7"/>
      <c r="T494" s="8"/>
      <c r="U494" s="8"/>
    </row>
    <row r="495" spans="1:21" s="5" customFormat="1">
      <c r="A495" s="7"/>
      <c r="T495" s="8"/>
      <c r="U495" s="8"/>
    </row>
    <row r="496" spans="1:21" s="5" customFormat="1">
      <c r="A496" s="7"/>
      <c r="T496" s="8"/>
      <c r="U496" s="8"/>
    </row>
    <row r="497" spans="1:21" s="5" customFormat="1">
      <c r="A497" s="7"/>
      <c r="T497" s="8"/>
      <c r="U497" s="8"/>
    </row>
    <row r="498" spans="1:21" s="5" customFormat="1">
      <c r="A498" s="7"/>
      <c r="T498" s="8"/>
      <c r="U498" s="8"/>
    </row>
    <row r="499" spans="1:21" s="5" customFormat="1">
      <c r="A499" s="7"/>
      <c r="T499" s="8"/>
      <c r="U499" s="8"/>
    </row>
    <row r="500" spans="1:21" s="5" customFormat="1">
      <c r="A500" s="7"/>
      <c r="T500" s="8"/>
      <c r="U500" s="8"/>
    </row>
    <row r="501" spans="1:21" s="5" customFormat="1">
      <c r="A501" s="7"/>
      <c r="T501" s="8"/>
      <c r="U501" s="8"/>
    </row>
    <row r="502" spans="1:21" s="5" customFormat="1">
      <c r="A502" s="7"/>
      <c r="T502" s="8"/>
      <c r="U502" s="8"/>
    </row>
    <row r="503" spans="1:21" s="5" customFormat="1">
      <c r="A503" s="7"/>
      <c r="T503" s="8"/>
      <c r="U503" s="8"/>
    </row>
    <row r="504" spans="1:21" s="5" customFormat="1">
      <c r="A504" s="7"/>
      <c r="T504" s="8"/>
      <c r="U504" s="8"/>
    </row>
    <row r="505" spans="1:21" s="5" customFormat="1">
      <c r="A505" s="7"/>
      <c r="T505" s="8"/>
      <c r="U505" s="8"/>
    </row>
    <row r="506" spans="1:21" s="5" customFormat="1">
      <c r="A506" s="7"/>
      <c r="T506" s="8"/>
      <c r="U506" s="8"/>
    </row>
    <row r="507" spans="1:21" s="5" customFormat="1">
      <c r="A507" s="7"/>
      <c r="T507" s="8"/>
      <c r="U507" s="8"/>
    </row>
    <row r="508" spans="1:21" s="5" customFormat="1">
      <c r="A508" s="7"/>
      <c r="T508" s="8"/>
      <c r="U508" s="8"/>
    </row>
    <row r="509" spans="1:21" s="5" customFormat="1">
      <c r="A509" s="7"/>
      <c r="T509" s="8"/>
      <c r="U509" s="8"/>
    </row>
    <row r="510" spans="1:21" s="5" customFormat="1">
      <c r="A510" s="7"/>
      <c r="T510" s="8"/>
      <c r="U510" s="8"/>
    </row>
    <row r="511" spans="1:21" s="5" customFormat="1">
      <c r="A511" s="7"/>
      <c r="T511" s="8"/>
      <c r="U511" s="8"/>
    </row>
    <row r="512" spans="1:21" s="5" customFormat="1">
      <c r="A512" s="7"/>
      <c r="T512" s="8"/>
      <c r="U512" s="8"/>
    </row>
    <row r="513" spans="1:21" s="5" customFormat="1">
      <c r="A513" s="7"/>
      <c r="T513" s="8"/>
      <c r="U513" s="8"/>
    </row>
    <row r="514" spans="1:21" s="5" customFormat="1">
      <c r="A514" s="7"/>
      <c r="T514" s="8"/>
      <c r="U514" s="8"/>
    </row>
    <row r="515" spans="1:21" s="5" customFormat="1">
      <c r="A515" s="7"/>
      <c r="T515" s="8"/>
      <c r="U515" s="8"/>
    </row>
    <row r="516" spans="1:21" s="5" customFormat="1">
      <c r="A516" s="7"/>
      <c r="T516" s="8"/>
      <c r="U516" s="8"/>
    </row>
    <row r="517" spans="1:21" s="5" customFormat="1">
      <c r="A517" s="7"/>
      <c r="T517" s="8"/>
      <c r="U517" s="8"/>
    </row>
    <row r="518" spans="1:21" s="5" customFormat="1">
      <c r="A518" s="7"/>
      <c r="T518" s="8"/>
      <c r="U518" s="8"/>
    </row>
    <row r="519" spans="1:21" s="5" customFormat="1">
      <c r="A519" s="7"/>
      <c r="T519" s="8"/>
      <c r="U519" s="8"/>
    </row>
    <row r="520" spans="1:21" s="5" customFormat="1">
      <c r="A520" s="7"/>
      <c r="T520" s="8"/>
      <c r="U520" s="8"/>
    </row>
    <row r="521" spans="1:21" s="5" customFormat="1">
      <c r="A521" s="7"/>
      <c r="T521" s="8"/>
      <c r="U521" s="8"/>
    </row>
    <row r="522" spans="1:21" s="5" customFormat="1">
      <c r="A522" s="7"/>
      <c r="T522" s="8"/>
      <c r="U522" s="8"/>
    </row>
    <row r="523" spans="1:21" s="5" customFormat="1">
      <c r="A523" s="7"/>
      <c r="T523" s="8"/>
      <c r="U523" s="8"/>
    </row>
    <row r="524" spans="1:21" s="5" customFormat="1">
      <c r="A524" s="7"/>
      <c r="T524" s="8"/>
      <c r="U524" s="8"/>
    </row>
    <row r="525" spans="1:21" s="5" customFormat="1">
      <c r="A525" s="7"/>
      <c r="T525" s="8"/>
      <c r="U525" s="8"/>
    </row>
    <row r="526" spans="1:21" s="5" customFormat="1">
      <c r="A526" s="7"/>
      <c r="T526" s="8"/>
      <c r="U526" s="8"/>
    </row>
    <row r="527" spans="1:21" s="5" customFormat="1">
      <c r="A527" s="7"/>
      <c r="T527" s="8"/>
      <c r="U527" s="8"/>
    </row>
    <row r="528" spans="1:21" s="5" customFormat="1">
      <c r="A528" s="7"/>
      <c r="T528" s="8"/>
      <c r="U528" s="8"/>
    </row>
    <row r="529" spans="1:21" s="5" customFormat="1">
      <c r="A529" s="7"/>
      <c r="T529" s="8"/>
      <c r="U529" s="8"/>
    </row>
    <row r="530" spans="1:21" s="5" customFormat="1">
      <c r="A530" s="7"/>
      <c r="T530" s="8"/>
      <c r="U530" s="8"/>
    </row>
    <row r="531" spans="1:21" s="5" customFormat="1">
      <c r="A531" s="7"/>
      <c r="T531" s="8"/>
      <c r="U531" s="8"/>
    </row>
    <row r="532" spans="1:21" s="5" customFormat="1">
      <c r="A532" s="7"/>
      <c r="T532" s="8"/>
      <c r="U532" s="8"/>
    </row>
    <row r="533" spans="1:21" s="5" customFormat="1">
      <c r="A533" s="7"/>
      <c r="T533" s="8"/>
      <c r="U533" s="8"/>
    </row>
    <row r="534" spans="1:21" s="5" customFormat="1">
      <c r="A534" s="7"/>
      <c r="T534" s="8"/>
      <c r="U534" s="8"/>
    </row>
    <row r="535" spans="1:21" s="5" customFormat="1">
      <c r="A535" s="7"/>
      <c r="T535" s="8"/>
      <c r="U535" s="8"/>
    </row>
    <row r="536" spans="1:21" s="5" customFormat="1">
      <c r="A536" s="7"/>
      <c r="T536" s="8"/>
      <c r="U536" s="8"/>
    </row>
    <row r="537" spans="1:21" s="5" customFormat="1">
      <c r="A537" s="7"/>
      <c r="T537" s="8"/>
      <c r="U537" s="8"/>
    </row>
    <row r="538" spans="1:21" s="5" customFormat="1">
      <c r="A538" s="7"/>
      <c r="T538" s="8"/>
      <c r="U538" s="8"/>
    </row>
    <row r="539" spans="1:21" s="5" customFormat="1">
      <c r="A539" s="7"/>
      <c r="T539" s="8"/>
      <c r="U539" s="8"/>
    </row>
    <row r="540" spans="1:21" s="5" customFormat="1">
      <c r="A540" s="7"/>
      <c r="T540" s="8"/>
      <c r="U540" s="8"/>
    </row>
    <row r="541" spans="1:21" s="5" customFormat="1">
      <c r="A541" s="7"/>
      <c r="T541" s="8"/>
      <c r="U541" s="8"/>
    </row>
    <row r="542" spans="1:21" s="5" customFormat="1">
      <c r="A542" s="7"/>
      <c r="T542" s="8"/>
      <c r="U542" s="8"/>
    </row>
    <row r="543" spans="1:21" s="5" customFormat="1">
      <c r="A543" s="7"/>
      <c r="T543" s="8"/>
      <c r="U543" s="8"/>
    </row>
    <row r="544" spans="1:21" s="5" customFormat="1">
      <c r="A544" s="7"/>
      <c r="T544" s="8"/>
      <c r="U544" s="8"/>
    </row>
    <row r="545" spans="1:21" s="5" customFormat="1">
      <c r="A545" s="7"/>
      <c r="T545" s="8"/>
      <c r="U545" s="8"/>
    </row>
    <row r="546" spans="1:21" s="5" customFormat="1">
      <c r="A546" s="7"/>
      <c r="T546" s="8"/>
      <c r="U546" s="8"/>
    </row>
    <row r="547" spans="1:21" s="5" customFormat="1">
      <c r="A547" s="7"/>
      <c r="T547" s="8"/>
      <c r="U547" s="8"/>
    </row>
    <row r="548" spans="1:21" s="5" customFormat="1">
      <c r="A548" s="7"/>
      <c r="T548" s="8"/>
      <c r="U548" s="8"/>
    </row>
    <row r="549" spans="1:21" s="5" customFormat="1">
      <c r="A549" s="7"/>
      <c r="T549" s="8"/>
      <c r="U549" s="8"/>
    </row>
    <row r="550" spans="1:21" s="5" customFormat="1">
      <c r="A550" s="7"/>
      <c r="T550" s="8"/>
      <c r="U550" s="8"/>
    </row>
    <row r="551" spans="1:21" s="5" customFormat="1">
      <c r="A551" s="7"/>
      <c r="T551" s="8"/>
      <c r="U551" s="8"/>
    </row>
    <row r="552" spans="1:21" s="5" customFormat="1">
      <c r="A552" s="7"/>
      <c r="T552" s="8"/>
      <c r="U552" s="8"/>
    </row>
    <row r="553" spans="1:21" s="5" customFormat="1">
      <c r="A553" s="7"/>
      <c r="T553" s="8"/>
      <c r="U553" s="8"/>
    </row>
    <row r="554" spans="1:21" s="5" customFormat="1">
      <c r="A554" s="7"/>
      <c r="T554" s="8"/>
      <c r="U554" s="8"/>
    </row>
    <row r="555" spans="1:21" s="5" customFormat="1">
      <c r="A555" s="7"/>
      <c r="T555" s="8"/>
      <c r="U555" s="8"/>
    </row>
    <row r="556" spans="1:21" s="5" customFormat="1">
      <c r="A556" s="7"/>
      <c r="T556" s="8"/>
      <c r="U556" s="8"/>
    </row>
    <row r="557" spans="1:21" s="5" customFormat="1">
      <c r="A557" s="7"/>
      <c r="T557" s="8"/>
      <c r="U557" s="8"/>
    </row>
    <row r="558" spans="1:21" s="5" customFormat="1">
      <c r="A558" s="7"/>
      <c r="T558" s="8"/>
      <c r="U558" s="8"/>
    </row>
    <row r="559" spans="1:21" s="5" customFormat="1">
      <c r="A559" s="7"/>
      <c r="T559" s="8"/>
      <c r="U559" s="8"/>
    </row>
    <row r="560" spans="1:21" s="5" customFormat="1">
      <c r="A560" s="7"/>
      <c r="T560" s="8"/>
      <c r="U560" s="8"/>
    </row>
    <row r="561" spans="1:21" s="5" customFormat="1">
      <c r="A561" s="7"/>
      <c r="T561" s="8"/>
      <c r="U561" s="8"/>
    </row>
    <row r="562" spans="1:21" s="5" customFormat="1">
      <c r="A562" s="7"/>
      <c r="T562" s="8"/>
      <c r="U562" s="8"/>
    </row>
    <row r="563" spans="1:21" s="5" customFormat="1">
      <c r="A563" s="7"/>
      <c r="T563" s="8"/>
      <c r="U563" s="8"/>
    </row>
    <row r="564" spans="1:21" s="5" customFormat="1">
      <c r="A564" s="7"/>
      <c r="T564" s="8"/>
      <c r="U564" s="8"/>
    </row>
    <row r="565" spans="1:21" s="5" customFormat="1">
      <c r="A565" s="7"/>
      <c r="T565" s="8"/>
      <c r="U565" s="8"/>
    </row>
    <row r="566" spans="1:21" s="5" customFormat="1">
      <c r="A566" s="7"/>
      <c r="T566" s="8"/>
      <c r="U566" s="8"/>
    </row>
    <row r="567" spans="1:21" s="5" customFormat="1">
      <c r="A567" s="7"/>
      <c r="T567" s="8"/>
      <c r="U567" s="8"/>
    </row>
    <row r="568" spans="1:21" s="5" customFormat="1">
      <c r="A568" s="7"/>
      <c r="T568" s="8"/>
      <c r="U568" s="8"/>
    </row>
    <row r="569" spans="1:21" s="5" customFormat="1">
      <c r="A569" s="7"/>
      <c r="T569" s="8"/>
      <c r="U569" s="8"/>
    </row>
    <row r="570" spans="1:21" s="5" customFormat="1">
      <c r="A570" s="7"/>
      <c r="T570" s="8"/>
      <c r="U570" s="8"/>
    </row>
    <row r="571" spans="1:21" s="5" customFormat="1">
      <c r="A571" s="7"/>
      <c r="T571" s="8"/>
      <c r="U571" s="8"/>
    </row>
    <row r="572" spans="1:21" s="5" customFormat="1">
      <c r="A572" s="7"/>
      <c r="T572" s="8"/>
      <c r="U572" s="8"/>
    </row>
    <row r="573" spans="1:21" s="5" customFormat="1">
      <c r="A573" s="7"/>
      <c r="T573" s="8"/>
      <c r="U573" s="8"/>
    </row>
    <row r="574" spans="1:21" s="5" customFormat="1">
      <c r="A574" s="7"/>
      <c r="T574" s="8"/>
      <c r="U574" s="8"/>
    </row>
    <row r="575" spans="1:21" s="5" customFormat="1">
      <c r="A575" s="7"/>
      <c r="T575" s="8"/>
      <c r="U575" s="8"/>
    </row>
    <row r="576" spans="1:21" s="5" customFormat="1">
      <c r="A576" s="7"/>
      <c r="T576" s="8"/>
      <c r="U576" s="8"/>
    </row>
    <row r="577" spans="1:21" s="5" customFormat="1">
      <c r="A577" s="7"/>
      <c r="T577" s="8"/>
      <c r="U577" s="8"/>
    </row>
    <row r="578" spans="1:21" s="5" customFormat="1">
      <c r="A578" s="7"/>
      <c r="T578" s="8"/>
      <c r="U578" s="8"/>
    </row>
    <row r="579" spans="1:21" s="5" customFormat="1">
      <c r="A579" s="7"/>
      <c r="T579" s="8"/>
      <c r="U579" s="8"/>
    </row>
    <row r="580" spans="1:21" s="5" customFormat="1">
      <c r="A580" s="7"/>
      <c r="T580" s="8"/>
      <c r="U580" s="8"/>
    </row>
    <row r="581" spans="1:21" s="5" customFormat="1">
      <c r="A581" s="7"/>
      <c r="T581" s="8"/>
      <c r="U581" s="8"/>
    </row>
    <row r="582" spans="1:21" s="5" customFormat="1">
      <c r="A582" s="7"/>
      <c r="T582" s="8"/>
      <c r="U582" s="8"/>
    </row>
    <row r="583" spans="1:21" s="5" customFormat="1">
      <c r="A583" s="7"/>
      <c r="T583" s="8"/>
      <c r="U583" s="8"/>
    </row>
    <row r="584" spans="1:21" s="5" customFormat="1">
      <c r="A584" s="7"/>
      <c r="T584" s="8"/>
      <c r="U584" s="8"/>
    </row>
    <row r="585" spans="1:21" s="5" customFormat="1">
      <c r="A585" s="7"/>
      <c r="T585" s="8"/>
      <c r="U585" s="8"/>
    </row>
    <row r="586" spans="1:21" s="5" customFormat="1">
      <c r="A586" s="7"/>
      <c r="T586" s="8"/>
      <c r="U586" s="8"/>
    </row>
    <row r="587" spans="1:21" s="5" customFormat="1">
      <c r="A587" s="7"/>
      <c r="T587" s="8"/>
      <c r="U587" s="8"/>
    </row>
    <row r="588" spans="1:21" s="5" customFormat="1">
      <c r="A588" s="7"/>
      <c r="T588" s="8"/>
      <c r="U588" s="8"/>
    </row>
    <row r="589" spans="1:21" s="5" customFormat="1">
      <c r="A589" s="7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</row>
    <row r="590" spans="1:21" s="5" customFormat="1">
      <c r="A590" s="7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</row>
    <row r="591" spans="1:21" s="5" customFormat="1">
      <c r="A591" s="7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</row>
    <row r="592" spans="1:21" s="5" customFormat="1">
      <c r="A592" s="7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</row>
    <row r="593" spans="1:21" s="5" customFormat="1">
      <c r="A593" s="7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</row>
    <row r="594" spans="1:21" s="5" customFormat="1">
      <c r="A594" s="7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</row>
    <row r="595" spans="1:21" s="5" customFormat="1">
      <c r="A595" s="7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</row>
    <row r="596" spans="1:21" s="5" customFormat="1">
      <c r="A596" s="7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</row>
    <row r="597" spans="1:21" s="5" customFormat="1">
      <c r="A597" s="7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</row>
    <row r="598" spans="1:21" s="5" customFormat="1">
      <c r="A598" s="7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</row>
    <row r="599" spans="1:21" s="5" customFormat="1">
      <c r="A599" s="7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</row>
    <row r="600" spans="1:21" s="5" customFormat="1">
      <c r="A600" s="7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</row>
    <row r="601" spans="1:21" s="5" customFormat="1">
      <c r="A601" s="7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</row>
    <row r="602" spans="1:21" s="5" customFormat="1">
      <c r="A602" s="7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</row>
    <row r="603" spans="1:21" s="5" customFormat="1">
      <c r="A603" s="7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</row>
    <row r="604" spans="1:21" s="5" customFormat="1">
      <c r="A604" s="7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</row>
    <row r="605" spans="1:21" s="5" customFormat="1">
      <c r="A605" s="7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</row>
    <row r="606" spans="1:21" s="5" customFormat="1">
      <c r="A606" s="7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</row>
    <row r="607" spans="1:21" s="5" customFormat="1">
      <c r="A607" s="7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</row>
    <row r="608" spans="1:21" s="5" customFormat="1">
      <c r="A608" s="7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</row>
    <row r="609" spans="1:21" s="5" customFormat="1">
      <c r="A609" s="7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</row>
    <row r="610" spans="1:21" s="5" customFormat="1">
      <c r="A610" s="7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</row>
    <row r="611" spans="1:21" s="5" customFormat="1">
      <c r="A611" s="7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</row>
    <row r="612" spans="1:21" s="5" customFormat="1">
      <c r="A612" s="7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</row>
    <row r="613" spans="1:21" s="5" customFormat="1">
      <c r="A613" s="7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</row>
    <row r="614" spans="1:21" s="5" customFormat="1">
      <c r="A614" s="7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</row>
    <row r="615" spans="1:21" s="5" customFormat="1">
      <c r="A615" s="7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</row>
    <row r="616" spans="1:21" s="5" customFormat="1">
      <c r="A616" s="7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</row>
    <row r="617" spans="1:21" s="5" customFormat="1">
      <c r="A617" s="7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</row>
    <row r="618" spans="1:21" s="5" customFormat="1">
      <c r="A618" s="7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</row>
    <row r="619" spans="1:21" s="5" customFormat="1">
      <c r="A619" s="7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</row>
    <row r="620" spans="1:21" s="5" customFormat="1">
      <c r="A620" s="7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</row>
    <row r="621" spans="1:21" s="5" customFormat="1">
      <c r="A621" s="7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</row>
    <row r="622" spans="1:21" s="5" customFormat="1">
      <c r="A622" s="7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</row>
    <row r="623" spans="1:21" s="5" customFormat="1">
      <c r="A623" s="7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</row>
    <row r="624" spans="1:21" s="5" customFormat="1">
      <c r="A624" s="7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</row>
    <row r="625" spans="1:21" s="5" customFormat="1">
      <c r="A625" s="7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</row>
    <row r="626" spans="1:21" s="5" customFormat="1">
      <c r="A626" s="7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</row>
    <row r="627" spans="1:21" s="5" customFormat="1">
      <c r="A627" s="7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</row>
    <row r="628" spans="1:21" s="5" customFormat="1">
      <c r="A628" s="7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</row>
    <row r="629" spans="1:21" s="5" customFormat="1">
      <c r="A629" s="7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</row>
    <row r="630" spans="1:21" s="5" customFormat="1">
      <c r="A630" s="7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</row>
    <row r="631" spans="1:21" s="5" customFormat="1">
      <c r="A631" s="7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</row>
    <row r="632" spans="1:21" s="5" customFormat="1">
      <c r="A632" s="7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</row>
    <row r="633" spans="1:21" s="5" customFormat="1">
      <c r="A633" s="7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</row>
    <row r="634" spans="1:21" s="5" customFormat="1">
      <c r="A634" s="7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</row>
    <row r="635" spans="1:21" s="5" customFormat="1">
      <c r="A635" s="7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</row>
    <row r="636" spans="1:21" s="5" customFormat="1">
      <c r="A636" s="7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</row>
    <row r="637" spans="1:21" s="5" customFormat="1">
      <c r="A637" s="7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</row>
    <row r="638" spans="1:21" s="5" customFormat="1">
      <c r="A638" s="7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</row>
    <row r="639" spans="1:21" s="5" customFormat="1">
      <c r="A639" s="7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</row>
    <row r="640" spans="1:21" s="5" customFormat="1">
      <c r="A640" s="7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</row>
    <row r="641" spans="1:21" s="5" customFormat="1">
      <c r="A641" s="7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</row>
    <row r="642" spans="1:21" s="5" customFormat="1">
      <c r="A642" s="7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</row>
    <row r="643" spans="1:21" s="5" customFormat="1">
      <c r="A643" s="7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</row>
    <row r="644" spans="1:21" s="5" customFormat="1">
      <c r="A644" s="7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</row>
    <row r="645" spans="1:21" s="5" customFormat="1">
      <c r="A645" s="7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</row>
    <row r="646" spans="1:21" s="5" customFormat="1">
      <c r="A646" s="7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</row>
    <row r="647" spans="1:21" s="5" customFormat="1">
      <c r="A647" s="7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</row>
    <row r="648" spans="1:21" s="5" customFormat="1">
      <c r="A648" s="7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</row>
    <row r="649" spans="1:21" s="5" customFormat="1">
      <c r="A649" s="7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</row>
    <row r="650" spans="1:21" s="5" customFormat="1">
      <c r="A650" s="7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</row>
    <row r="651" spans="1:21" s="5" customFormat="1">
      <c r="A651" s="7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</row>
    <row r="652" spans="1:21" s="5" customFormat="1">
      <c r="A652" s="7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</row>
    <row r="653" spans="1:21" s="5" customFormat="1">
      <c r="A653" s="7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</row>
    <row r="654" spans="1:21" s="5" customFormat="1">
      <c r="A654" s="7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</row>
    <row r="655" spans="1:21" s="5" customFormat="1">
      <c r="A655" s="7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</row>
    <row r="656" spans="1:21" s="5" customFormat="1">
      <c r="A656" s="7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</row>
    <row r="657" spans="1:21" s="5" customFormat="1">
      <c r="A657" s="7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</row>
    <row r="658" spans="1:21" s="5" customFormat="1">
      <c r="A658" s="7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</row>
    <row r="659" spans="1:21" s="5" customFormat="1">
      <c r="A659" s="7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</row>
    <row r="660" spans="1:21" s="5" customFormat="1">
      <c r="A660" s="7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</row>
    <row r="661" spans="1:21" s="5" customFormat="1">
      <c r="A661" s="7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</row>
    <row r="662" spans="1:21" s="5" customFormat="1">
      <c r="A662" s="7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</row>
    <row r="663" spans="1:21" s="5" customFormat="1">
      <c r="A663" s="7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</row>
    <row r="664" spans="1:21" s="5" customFormat="1">
      <c r="A664" s="7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</row>
    <row r="665" spans="1:21" s="5" customFormat="1">
      <c r="A665" s="7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</row>
    <row r="666" spans="1:21" s="5" customFormat="1">
      <c r="A666" s="7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</row>
    <row r="667" spans="1:21" s="5" customFormat="1">
      <c r="A667" s="7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</row>
    <row r="668" spans="1:21" s="5" customFormat="1">
      <c r="A668" s="7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</row>
    <row r="669" spans="1:21" s="5" customFormat="1">
      <c r="A669" s="7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</row>
    <row r="670" spans="1:21" s="5" customFormat="1">
      <c r="A670" s="7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</row>
    <row r="671" spans="1:21" s="5" customFormat="1">
      <c r="A671" s="7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</row>
    <row r="672" spans="1:21" s="5" customFormat="1">
      <c r="A672" s="7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</row>
    <row r="673" spans="1:21" s="5" customFormat="1">
      <c r="A673" s="7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</row>
    <row r="674" spans="1:21" s="5" customFormat="1">
      <c r="A674" s="7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</row>
    <row r="675" spans="1:21" s="5" customFormat="1">
      <c r="A675" s="7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</row>
    <row r="676" spans="1:21" s="5" customFormat="1">
      <c r="A676" s="7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</row>
    <row r="677" spans="1:21" s="5" customFormat="1">
      <c r="A677" s="7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</row>
    <row r="678" spans="1:21" s="5" customFormat="1">
      <c r="A678" s="7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</row>
    <row r="679" spans="1:21" s="5" customFormat="1">
      <c r="A679" s="7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</row>
    <row r="680" spans="1:21" s="5" customFormat="1">
      <c r="A680" s="7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</row>
    <row r="681" spans="1:21" s="5" customFormat="1">
      <c r="A681" s="7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</row>
    <row r="682" spans="1:21" s="5" customFormat="1">
      <c r="A682" s="7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</row>
    <row r="683" spans="1:21" s="5" customFormat="1">
      <c r="A683" s="7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</row>
    <row r="684" spans="1:21" s="5" customFormat="1">
      <c r="A684" s="7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</row>
    <row r="685" spans="1:21" s="5" customFormat="1">
      <c r="A685" s="7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</row>
    <row r="686" spans="1:21" s="5" customFormat="1">
      <c r="A686" s="7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</row>
    <row r="687" spans="1:21" s="5" customFormat="1">
      <c r="A687" s="7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</row>
    <row r="688" spans="1:21" s="5" customFormat="1">
      <c r="A688" s="7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</row>
    <row r="689" spans="1:21" s="5" customFormat="1">
      <c r="A689" s="7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</row>
    <row r="690" spans="1:21" s="5" customFormat="1">
      <c r="A690" s="7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</row>
    <row r="691" spans="1:21" s="5" customFormat="1">
      <c r="A691" s="7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</row>
    <row r="692" spans="1:21" s="5" customFormat="1">
      <c r="A692" s="7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</row>
    <row r="693" spans="1:21" s="5" customFormat="1">
      <c r="A693" s="7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</row>
    <row r="694" spans="1:21" s="5" customFormat="1">
      <c r="A694" s="7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</row>
    <row r="695" spans="1:21" s="5" customFormat="1">
      <c r="A695" s="7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</row>
    <row r="696" spans="1:21" s="5" customFormat="1">
      <c r="A696" s="7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</row>
    <row r="697" spans="1:21" s="5" customFormat="1">
      <c r="A697" s="7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</row>
    <row r="698" spans="1:21" s="5" customFormat="1">
      <c r="A698" s="7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</row>
    <row r="699" spans="1:21" s="5" customFormat="1">
      <c r="A699" s="7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</row>
    <row r="700" spans="1:21" s="5" customFormat="1">
      <c r="A700" s="7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</row>
    <row r="701" spans="1:21" s="5" customFormat="1">
      <c r="A701" s="7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</row>
    <row r="702" spans="1:21" s="5" customFormat="1">
      <c r="A702" s="7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</row>
    <row r="703" spans="1:21" s="5" customFormat="1">
      <c r="A703" s="7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</row>
    <row r="704" spans="1:21" s="5" customFormat="1">
      <c r="A704" s="7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</row>
    <row r="705" spans="1:21" s="5" customFormat="1">
      <c r="A705" s="7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</row>
    <row r="706" spans="1:21" s="5" customFormat="1">
      <c r="A706" s="7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</row>
    <row r="707" spans="1:21" s="5" customFormat="1">
      <c r="A707" s="7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</row>
    <row r="708" spans="1:21" s="5" customFormat="1">
      <c r="A708" s="7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</row>
    <row r="709" spans="1:21" s="5" customFormat="1">
      <c r="A709" s="7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</row>
    <row r="710" spans="1:21" s="5" customFormat="1">
      <c r="A710" s="7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</row>
    <row r="711" spans="1:21" s="5" customFormat="1">
      <c r="A711" s="7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</row>
    <row r="712" spans="1:21" s="5" customFormat="1">
      <c r="A712" s="7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</row>
    <row r="713" spans="1:21" s="5" customFormat="1">
      <c r="A713" s="7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</row>
    <row r="714" spans="1:21" s="5" customFormat="1">
      <c r="A714" s="7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</row>
    <row r="715" spans="1:21" s="5" customFormat="1">
      <c r="A715" s="7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</row>
    <row r="716" spans="1:21" s="5" customFormat="1">
      <c r="A716" s="7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</row>
  </sheetData>
  <mergeCells count="102">
    <mergeCell ref="J70:J73"/>
    <mergeCell ref="K70:K73"/>
    <mergeCell ref="F98:H98"/>
    <mergeCell ref="F99:H99"/>
    <mergeCell ref="F95:H95"/>
    <mergeCell ref="F96:H96"/>
    <mergeCell ref="F93:G93"/>
    <mergeCell ref="F89:G89"/>
    <mergeCell ref="F97:H97"/>
    <mergeCell ref="F94:H94"/>
    <mergeCell ref="F90:G90"/>
    <mergeCell ref="F92:G92"/>
    <mergeCell ref="F91:G91"/>
    <mergeCell ref="F86:G86"/>
    <mergeCell ref="F88:G88"/>
    <mergeCell ref="F73:G73"/>
    <mergeCell ref="F76:G76"/>
    <mergeCell ref="F82:G82"/>
    <mergeCell ref="F79:G79"/>
    <mergeCell ref="F83:G83"/>
    <mergeCell ref="F87:G87"/>
    <mergeCell ref="F78:G78"/>
    <mergeCell ref="F85:G85"/>
    <mergeCell ref="F84:G84"/>
    <mergeCell ref="F75:G75"/>
    <mergeCell ref="F80:G80"/>
    <mergeCell ref="F77:G77"/>
    <mergeCell ref="F81:G81"/>
    <mergeCell ref="B68:E68"/>
    <mergeCell ref="I18:I19"/>
    <mergeCell ref="F71:G71"/>
    <mergeCell ref="F72:G72"/>
    <mergeCell ref="A39:A52"/>
    <mergeCell ref="G18:G19"/>
    <mergeCell ref="F70:G70"/>
    <mergeCell ref="B69:I69"/>
    <mergeCell ref="A24:A37"/>
    <mergeCell ref="B66:E66"/>
    <mergeCell ref="F66:I66"/>
    <mergeCell ref="J69:K69"/>
    <mergeCell ref="F74:G74"/>
    <mergeCell ref="G16:G17"/>
    <mergeCell ref="F68:I68"/>
    <mergeCell ref="D18:D19"/>
    <mergeCell ref="F18:F19"/>
    <mergeCell ref="B67:E67"/>
    <mergeCell ref="F67:I67"/>
    <mergeCell ref="J20:K20"/>
    <mergeCell ref="A5:A21"/>
    <mergeCell ref="J15:K15"/>
    <mergeCell ref="I16:I17"/>
    <mergeCell ref="I13:I14"/>
    <mergeCell ref="C65:E65"/>
    <mergeCell ref="F65:I65"/>
    <mergeCell ref="A55:A64"/>
    <mergeCell ref="I5:I7"/>
    <mergeCell ref="I11:I12"/>
    <mergeCell ref="F8:F10"/>
    <mergeCell ref="L76:L77"/>
    <mergeCell ref="J74:J75"/>
    <mergeCell ref="K74:K75"/>
    <mergeCell ref="J76:J77"/>
    <mergeCell ref="K76:K77"/>
    <mergeCell ref="L74:L75"/>
    <mergeCell ref="F11:F12"/>
    <mergeCell ref="F13:F14"/>
    <mergeCell ref="G11:G12"/>
    <mergeCell ref="I8:I10"/>
    <mergeCell ref="B1:I1"/>
    <mergeCell ref="B2:I2"/>
    <mergeCell ref="B3:I3"/>
    <mergeCell ref="B5:B7"/>
    <mergeCell ref="F5:F7"/>
    <mergeCell ref="D16:D17"/>
    <mergeCell ref="B13:B14"/>
    <mergeCell ref="B11:B12"/>
    <mergeCell ref="F16:F17"/>
    <mergeCell ref="G13:G14"/>
    <mergeCell ref="H16:H17"/>
    <mergeCell ref="D9:D12"/>
    <mergeCell ref="D13:D15"/>
    <mergeCell ref="B8:B10"/>
    <mergeCell ref="G8:G10"/>
    <mergeCell ref="J1:AE1"/>
    <mergeCell ref="J19:K19"/>
    <mergeCell ref="J16:K16"/>
    <mergeCell ref="J14:K14"/>
    <mergeCell ref="J2:AE2"/>
    <mergeCell ref="J21:K21"/>
    <mergeCell ref="L19:R19"/>
    <mergeCell ref="J3:AE3"/>
    <mergeCell ref="S14:U14"/>
    <mergeCell ref="L69:L73"/>
    <mergeCell ref="D5:D8"/>
    <mergeCell ref="H5:H14"/>
    <mergeCell ref="G5:G7"/>
    <mergeCell ref="AC19:AE19"/>
    <mergeCell ref="T19:Z19"/>
    <mergeCell ref="AA14:AE14"/>
    <mergeCell ref="P14:R14"/>
    <mergeCell ref="V14:Z14"/>
    <mergeCell ref="H18:H19"/>
  </mergeCells>
  <phoneticPr fontId="2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1">
    <pageSetUpPr autoPageBreaks="0"/>
  </sheetPr>
  <dimension ref="A1:AM574"/>
  <sheetViews>
    <sheetView workbookViewId="0">
      <selection activeCell="B1" sqref="B1:I1"/>
    </sheetView>
  </sheetViews>
  <sheetFormatPr defaultRowHeight="12.75"/>
  <cols>
    <col min="1" max="1" width="3.7109375" style="19" customWidth="1"/>
    <col min="2" max="2" width="3.7109375" customWidth="1"/>
    <col min="3" max="3" width="34.7109375" customWidth="1"/>
    <col min="4" max="9" width="10.7109375" customWidth="1"/>
    <col min="10" max="10" width="15.7109375" style="2" customWidth="1"/>
    <col min="11" max="13" width="15.5703125" style="2" customWidth="1"/>
    <col min="14" max="14" width="15.7109375" style="2" customWidth="1"/>
    <col min="15" max="18" width="15.5703125" style="2" customWidth="1"/>
    <col min="19" max="19" width="15.85546875" style="2" customWidth="1"/>
    <col min="20" max="21" width="15.5703125" style="2" customWidth="1"/>
    <col min="22" max="27" width="15.5703125" customWidth="1"/>
    <col min="28" max="28" width="16.7109375" customWidth="1"/>
    <col min="29" max="39" width="15.5703125" customWidth="1"/>
  </cols>
  <sheetData>
    <row r="1" spans="1:39" ht="28.5" customHeight="1">
      <c r="A1" s="31"/>
      <c r="B1" s="322"/>
      <c r="C1" s="323"/>
      <c r="D1" s="323"/>
      <c r="E1" s="323"/>
      <c r="F1" s="323"/>
      <c r="G1" s="323"/>
      <c r="H1" s="323"/>
      <c r="I1" s="323"/>
      <c r="J1" s="240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15"/>
      <c r="AG1" s="15"/>
      <c r="AH1" s="15"/>
      <c r="AI1" s="15"/>
    </row>
    <row r="2" spans="1:39" ht="24" customHeight="1" thickBot="1">
      <c r="A2" s="22"/>
      <c r="B2" s="252" t="s">
        <v>310</v>
      </c>
      <c r="C2" s="252"/>
      <c r="D2" s="252"/>
      <c r="E2" s="252"/>
      <c r="F2" s="252"/>
      <c r="G2" s="252"/>
      <c r="H2" s="252"/>
      <c r="I2" s="252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15"/>
      <c r="AG2" s="15"/>
      <c r="AH2" s="15"/>
      <c r="AI2" s="15"/>
    </row>
    <row r="3" spans="1:39" s="18" customFormat="1" ht="24" customHeight="1" thickBot="1">
      <c r="A3" s="23"/>
      <c r="B3" s="253" t="s">
        <v>36</v>
      </c>
      <c r="C3" s="253"/>
      <c r="D3" s="253"/>
      <c r="E3" s="253"/>
      <c r="F3" s="253"/>
      <c r="G3" s="253"/>
      <c r="H3" s="253"/>
      <c r="I3" s="253"/>
      <c r="J3" s="318" t="s">
        <v>170</v>
      </c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20"/>
      <c r="AF3" s="15"/>
      <c r="AG3" s="15"/>
      <c r="AH3" s="15"/>
      <c r="AI3" s="15"/>
    </row>
    <row r="4" spans="1:39" s="14" customFormat="1" ht="12.75" customHeight="1">
      <c r="A4" s="21">
        <f>'ΜΙΣΘΟΔΟΣΙΑ ΜΟΝΙΜΩΝ'!A4</f>
        <v>0</v>
      </c>
      <c r="B4" s="12"/>
      <c r="C4" s="12" t="s">
        <v>38</v>
      </c>
      <c r="D4" s="20" t="s">
        <v>121</v>
      </c>
      <c r="E4" s="12" t="s">
        <v>0</v>
      </c>
      <c r="F4" s="12" t="s">
        <v>1</v>
      </c>
      <c r="G4" s="12" t="s">
        <v>2</v>
      </c>
      <c r="H4" s="12" t="s">
        <v>10</v>
      </c>
      <c r="I4" s="12" t="s">
        <v>11</v>
      </c>
      <c r="J4" s="165" t="s">
        <v>24</v>
      </c>
      <c r="K4" s="116" t="s">
        <v>126</v>
      </c>
      <c r="L4" s="69" t="s">
        <v>127</v>
      </c>
      <c r="M4" s="70" t="s">
        <v>128</v>
      </c>
      <c r="N4" s="70" t="s">
        <v>130</v>
      </c>
      <c r="O4" s="70" t="s">
        <v>131</v>
      </c>
      <c r="P4" s="70" t="s">
        <v>133</v>
      </c>
      <c r="Q4" s="71" t="s">
        <v>129</v>
      </c>
      <c r="R4" s="80" t="s">
        <v>134</v>
      </c>
      <c r="S4" s="81" t="s">
        <v>140</v>
      </c>
      <c r="T4" s="81" t="s">
        <v>141</v>
      </c>
      <c r="U4" s="81" t="s">
        <v>142</v>
      </c>
      <c r="V4" s="81" t="s">
        <v>138</v>
      </c>
      <c r="W4" s="309" t="s">
        <v>132</v>
      </c>
      <c r="X4" s="310"/>
      <c r="Y4" s="311" t="s">
        <v>135</v>
      </c>
      <c r="Z4" s="312"/>
      <c r="AA4" s="312"/>
      <c r="AB4" s="312"/>
      <c r="AC4" s="313"/>
      <c r="AD4" s="313"/>
      <c r="AE4" s="314"/>
      <c r="AF4" s="68"/>
      <c r="AG4" s="11"/>
      <c r="AH4" s="11"/>
      <c r="AI4" s="11"/>
    </row>
    <row r="5" spans="1:39" s="5" customFormat="1" ht="12.75" customHeight="1">
      <c r="A5" s="304" t="s">
        <v>270</v>
      </c>
      <c r="B5" s="235">
        <f>IF(A23=1,1,0)</f>
        <v>1</v>
      </c>
      <c r="C5" s="82" t="s">
        <v>118</v>
      </c>
      <c r="D5" s="233">
        <f>'ΜΙΣΘΟΔΟΣΙΑ ΜΟΝΙΜΩΝ'!D9</f>
        <v>0</v>
      </c>
      <c r="E5" s="17">
        <f>IF(D5="ΣΤ",K19,IF(D5="Ε",IF(D11=0,L19,IF(D11=1,M19,IF(D11=2,N19))),IF(D5="Δ",IF(D11=0,O19,IF(D11=1,P19,IF(D11=2,Q19,IF(D11=3,R19)))),0)))*B5</f>
        <v>0</v>
      </c>
      <c r="F5" s="235">
        <v>12</v>
      </c>
      <c r="G5" s="234">
        <f>ROUND((E5+E6+E7+IF(E5+E6+E7&gt;0,IF(E15&gt;0,0,E15),0))*F5,2)</f>
        <v>0</v>
      </c>
      <c r="H5" s="234">
        <v>23.22</v>
      </c>
      <c r="I5" s="234">
        <f>ROUND(G5*H5%,2)</f>
        <v>0</v>
      </c>
      <c r="J5" s="160" t="s">
        <v>109</v>
      </c>
      <c r="K5" s="117" t="s">
        <v>110</v>
      </c>
      <c r="L5" s="285" t="s">
        <v>111</v>
      </c>
      <c r="M5" s="286"/>
      <c r="N5" s="286"/>
      <c r="O5" s="286"/>
      <c r="P5" s="286"/>
      <c r="Q5" s="287"/>
      <c r="R5" s="301" t="s">
        <v>8</v>
      </c>
      <c r="S5" s="321"/>
      <c r="T5" s="321"/>
      <c r="U5" s="321"/>
      <c r="V5" s="321"/>
      <c r="W5" s="286"/>
      <c r="X5" s="287"/>
      <c r="Y5" s="305" t="s">
        <v>113</v>
      </c>
      <c r="Z5" s="306"/>
      <c r="AA5" s="306"/>
      <c r="AB5" s="306"/>
      <c r="AC5" s="307"/>
      <c r="AD5" s="307"/>
      <c r="AE5" s="308"/>
      <c r="AF5" s="83"/>
      <c r="AG5" s="84"/>
      <c r="AH5" s="84"/>
      <c r="AI5" s="84"/>
    </row>
    <row r="6" spans="1:39" s="5" customFormat="1" ht="12.75" customHeight="1">
      <c r="A6" s="272"/>
      <c r="B6" s="235"/>
      <c r="C6" s="82" t="s">
        <v>117</v>
      </c>
      <c r="D6" s="235"/>
      <c r="E6" s="17">
        <f>IF(D5="Γ",IF(D11=0,S19,IF(D11=1,T19,IF(D11=2,U19,IF(D11=3,V19,IF(D11=4,W19))))),IF(D5="Β",IF(D11=0,X19,IF(D11=1,Y19,IF(D11=2,Z19,IF(D11=3,AA19,IF(D11=4,AB19,IF(D11=5,AC19)))))),0))*B5</f>
        <v>0</v>
      </c>
      <c r="F6" s="235"/>
      <c r="G6" s="234"/>
      <c r="H6" s="234"/>
      <c r="I6" s="234"/>
      <c r="J6" s="160" t="s">
        <v>100</v>
      </c>
      <c r="K6" s="117">
        <v>0</v>
      </c>
      <c r="L6" s="72">
        <v>0</v>
      </c>
      <c r="M6" s="73">
        <v>1</v>
      </c>
      <c r="N6" s="73">
        <v>2</v>
      </c>
      <c r="O6" s="73">
        <v>3</v>
      </c>
      <c r="P6" s="73">
        <v>4</v>
      </c>
      <c r="Q6" s="74">
        <v>5</v>
      </c>
      <c r="R6" s="75">
        <v>0</v>
      </c>
      <c r="S6" s="76">
        <v>1</v>
      </c>
      <c r="T6" s="76">
        <v>2</v>
      </c>
      <c r="U6" s="76">
        <v>3</v>
      </c>
      <c r="V6" s="76">
        <v>4</v>
      </c>
      <c r="W6" s="77">
        <v>5</v>
      </c>
      <c r="X6" s="74">
        <v>6</v>
      </c>
      <c r="Y6" s="78">
        <v>0</v>
      </c>
      <c r="Z6" s="77">
        <v>1</v>
      </c>
      <c r="AA6" s="77">
        <v>2</v>
      </c>
      <c r="AB6" s="77">
        <v>3</v>
      </c>
      <c r="AC6" s="77">
        <v>4</v>
      </c>
      <c r="AD6" s="77">
        <v>5</v>
      </c>
      <c r="AE6" s="74">
        <v>6</v>
      </c>
      <c r="AF6" s="83"/>
      <c r="AG6" s="84"/>
      <c r="AH6" s="84"/>
      <c r="AI6" s="84"/>
    </row>
    <row r="7" spans="1:39" s="5" customFormat="1" ht="12.75" customHeight="1" thickBot="1">
      <c r="A7" s="272"/>
      <c r="B7" s="235"/>
      <c r="C7" s="82" t="s">
        <v>116</v>
      </c>
      <c r="D7" s="235"/>
      <c r="E7" s="17">
        <f>IF(D5="Β",IF(D11=6,AD19,IF(D11=7,AE19)),IF(D5="Α",IF(D11=0,AF19,IF(D11=1,AG19,IF(D11=2,AH19,IF(D11=3,AI19,IF(D11=4,AJ19,IF(D11=5,AK19)))))),0))*B5</f>
        <v>0</v>
      </c>
      <c r="F7" s="235"/>
      <c r="G7" s="235"/>
      <c r="H7" s="234"/>
      <c r="I7" s="235"/>
      <c r="J7" s="163" t="s">
        <v>101</v>
      </c>
      <c r="K7" s="118">
        <v>780</v>
      </c>
      <c r="L7" s="50">
        <f>ROUND(K7*1.1,0)</f>
        <v>858</v>
      </c>
      <c r="M7" s="46">
        <f>ROUND(L7*1.02,0)</f>
        <v>875</v>
      </c>
      <c r="N7" s="46">
        <f>ROUND(M7*1.02,0)</f>
        <v>893</v>
      </c>
      <c r="O7" s="46">
        <f>ROUND(N7*1.02,0)</f>
        <v>911</v>
      </c>
      <c r="P7" s="46">
        <f>ROUND(O7*1.02,0)</f>
        <v>929</v>
      </c>
      <c r="Q7" s="63">
        <f>ROUND(P7*1.02,0)</f>
        <v>948</v>
      </c>
      <c r="R7" s="54">
        <f>ROUND(L7*1.15,0)</f>
        <v>987</v>
      </c>
      <c r="S7" s="47">
        <f t="shared" ref="S7:X7" si="0">ROUND(R7*1.02,0)</f>
        <v>1007</v>
      </c>
      <c r="T7" s="47">
        <f t="shared" si="0"/>
        <v>1027</v>
      </c>
      <c r="U7" s="47">
        <f t="shared" si="0"/>
        <v>1048</v>
      </c>
      <c r="V7" s="47">
        <f t="shared" si="0"/>
        <v>1069</v>
      </c>
      <c r="W7" s="64">
        <f t="shared" si="0"/>
        <v>1090</v>
      </c>
      <c r="X7" s="63">
        <f t="shared" si="0"/>
        <v>1112</v>
      </c>
      <c r="Y7" s="66">
        <f>ROUND(R7*1.15,0)</f>
        <v>1135</v>
      </c>
      <c r="Z7" s="67">
        <f t="shared" ref="Z7:AE7" si="1">ROUND(Y7*1.02,0)</f>
        <v>1158</v>
      </c>
      <c r="AA7" s="67">
        <f t="shared" si="1"/>
        <v>1181</v>
      </c>
      <c r="AB7" s="67">
        <f t="shared" si="1"/>
        <v>1205</v>
      </c>
      <c r="AC7" s="67">
        <f t="shared" si="1"/>
        <v>1229</v>
      </c>
      <c r="AD7" s="67">
        <f t="shared" si="1"/>
        <v>1254</v>
      </c>
      <c r="AE7" s="67">
        <f t="shared" si="1"/>
        <v>1279</v>
      </c>
      <c r="AF7" s="83"/>
      <c r="AG7" s="84"/>
      <c r="AH7" s="84"/>
      <c r="AI7" s="84"/>
    </row>
    <row r="8" spans="1:39" ht="12.75" customHeight="1">
      <c r="A8" s="272"/>
      <c r="B8" s="235">
        <f>IF(A23=2,1,0)</f>
        <v>0</v>
      </c>
      <c r="C8" s="85" t="s">
        <v>118</v>
      </c>
      <c r="D8" s="235"/>
      <c r="E8" s="17">
        <f>IF(D5="ΣΤ",K15,IF(D5="Ε",IF(D11=0,L15,IF(D11=1,M15,IF(D11=2,N15))),IF(D5="Δ",IF(D11=0,O15,IF(D11=1,P15,IF(D11=2,Q15,IF(D11=3,R15)))),0)))*B8</f>
        <v>0</v>
      </c>
      <c r="F8" s="235">
        <v>12</v>
      </c>
      <c r="G8" s="234">
        <f>ROUND((E8+E9+E10+IF(E8+E9+E10&gt;0,IF(E15&gt;0,0,E15),0))*F8,2)</f>
        <v>0</v>
      </c>
      <c r="H8" s="234"/>
      <c r="I8" s="234">
        <f>ROUND(G8*H5%,2)</f>
        <v>0</v>
      </c>
      <c r="J8" s="161" t="s">
        <v>24</v>
      </c>
      <c r="K8" s="119" t="s">
        <v>126</v>
      </c>
      <c r="L8" s="51" t="s">
        <v>127</v>
      </c>
      <c r="M8" s="44" t="s">
        <v>128</v>
      </c>
      <c r="N8" s="44" t="s">
        <v>130</v>
      </c>
      <c r="O8" s="60" t="s">
        <v>129</v>
      </c>
      <c r="P8" s="52" t="s">
        <v>131</v>
      </c>
      <c r="Q8" s="45" t="s">
        <v>133</v>
      </c>
      <c r="R8" s="45" t="s">
        <v>134</v>
      </c>
      <c r="S8" s="299" t="s">
        <v>132</v>
      </c>
      <c r="T8" s="300"/>
      <c r="U8" s="86" t="s">
        <v>139</v>
      </c>
      <c r="V8" s="87" t="s">
        <v>141</v>
      </c>
      <c r="W8" s="87" t="s">
        <v>142</v>
      </c>
      <c r="X8" s="87" t="s">
        <v>138</v>
      </c>
      <c r="Y8" s="299" t="s">
        <v>164</v>
      </c>
      <c r="Z8" s="300"/>
      <c r="AA8" s="315" t="s">
        <v>165</v>
      </c>
      <c r="AB8" s="316"/>
      <c r="AC8" s="316"/>
      <c r="AD8" s="316"/>
      <c r="AE8" s="317"/>
      <c r="AF8" s="83"/>
      <c r="AG8" s="84"/>
      <c r="AH8" s="84"/>
      <c r="AI8" s="84"/>
    </row>
    <row r="9" spans="1:39" ht="12.75" customHeight="1">
      <c r="A9" s="272"/>
      <c r="B9" s="235"/>
      <c r="C9" s="82" t="s">
        <v>117</v>
      </c>
      <c r="D9" s="235"/>
      <c r="E9" s="17">
        <f>IF(D5="Γ",IF(D11=0,S15,IF(D11=1,T15,IF(D11=2,U15,IF(D11=3,V15,IF(D11=4,W15))))),IF(D5="Β",IF(D11=0,X15,IF(D11=1,Y15,IF(D11=2,Z15,IF(D11=3,AA15,IF(D11=4,AB15,IF(D11=5,AC15)))))),0))*B8</f>
        <v>0</v>
      </c>
      <c r="F9" s="235"/>
      <c r="G9" s="234"/>
      <c r="H9" s="234"/>
      <c r="I9" s="234"/>
      <c r="J9" s="160" t="s">
        <v>109</v>
      </c>
      <c r="K9" s="117" t="s">
        <v>110</v>
      </c>
      <c r="L9" s="285" t="s">
        <v>111</v>
      </c>
      <c r="M9" s="302"/>
      <c r="N9" s="302"/>
      <c r="O9" s="303"/>
      <c r="P9" s="301" t="s">
        <v>8</v>
      </c>
      <c r="Q9" s="302"/>
      <c r="R9" s="302"/>
      <c r="S9" s="302"/>
      <c r="T9" s="303"/>
      <c r="U9" s="305" t="s">
        <v>113</v>
      </c>
      <c r="V9" s="286"/>
      <c r="W9" s="286"/>
      <c r="X9" s="286"/>
      <c r="Y9" s="286"/>
      <c r="Z9" s="287"/>
      <c r="AA9" s="295" t="s">
        <v>112</v>
      </c>
      <c r="AB9" s="296"/>
      <c r="AC9" s="296"/>
      <c r="AD9" s="297"/>
      <c r="AE9" s="298"/>
      <c r="AF9" s="83"/>
      <c r="AG9" s="84"/>
      <c r="AH9" s="84"/>
      <c r="AI9" s="84"/>
    </row>
    <row r="10" spans="1:39" ht="12.75" customHeight="1">
      <c r="A10" s="272"/>
      <c r="B10" s="235"/>
      <c r="C10" s="82" t="s">
        <v>116</v>
      </c>
      <c r="D10" s="235"/>
      <c r="E10" s="17">
        <f>IF(D5="Β",IF(D11=6,AD15,IF(D11=7,AE15)),IF(D5="Α",IF(D11=0,AF15,IF(D11=1,AG15,IF(D11=2,AH15,IF(D11=3,AI15,IF(D11=4,AJ15,IF(D11=5,AK15)))))),0))*B8</f>
        <v>0</v>
      </c>
      <c r="F10" s="235"/>
      <c r="G10" s="235"/>
      <c r="H10" s="234"/>
      <c r="I10" s="235"/>
      <c r="J10" s="162" t="s">
        <v>100</v>
      </c>
      <c r="K10" s="120">
        <v>0</v>
      </c>
      <c r="L10" s="41">
        <v>0</v>
      </c>
      <c r="M10" s="40">
        <v>1</v>
      </c>
      <c r="N10" s="40">
        <v>2</v>
      </c>
      <c r="O10" s="61">
        <v>3</v>
      </c>
      <c r="P10" s="53">
        <v>0</v>
      </c>
      <c r="Q10" s="42">
        <v>1</v>
      </c>
      <c r="R10" s="42">
        <v>2</v>
      </c>
      <c r="S10" s="62">
        <v>3</v>
      </c>
      <c r="T10" s="61">
        <v>4</v>
      </c>
      <c r="U10" s="57">
        <v>0</v>
      </c>
      <c r="V10" s="43">
        <v>1</v>
      </c>
      <c r="W10" s="43">
        <v>2</v>
      </c>
      <c r="X10" s="43">
        <v>3</v>
      </c>
      <c r="Y10" s="62">
        <v>4</v>
      </c>
      <c r="Z10" s="61">
        <v>5</v>
      </c>
      <c r="AA10" s="88">
        <v>0</v>
      </c>
      <c r="AB10" s="62">
        <v>1</v>
      </c>
      <c r="AC10" s="62">
        <v>2</v>
      </c>
      <c r="AD10" s="62">
        <v>3</v>
      </c>
      <c r="AE10" s="61">
        <v>4</v>
      </c>
      <c r="AF10" s="83"/>
      <c r="AG10" s="84"/>
      <c r="AH10" s="84"/>
      <c r="AI10" s="84"/>
    </row>
    <row r="11" spans="1:39" ht="12.75" customHeight="1" thickBot="1">
      <c r="A11" s="272"/>
      <c r="B11" s="235">
        <f>IF(A23=3,1,0)</f>
        <v>0</v>
      </c>
      <c r="C11" s="85" t="s">
        <v>118</v>
      </c>
      <c r="D11" s="233">
        <f>'ΜΙΣΘΟΔΟΣΙΑ ΜΟΝΙΜΩΝ'!D13</f>
        <v>0</v>
      </c>
      <c r="E11" s="17">
        <f>IF(D5="ΣΤ",K11,IF(D5="Ε",IF(D11=0,L11,IF(D11=1,M11,IF(D11=2,N11,IF(D11=3,O11)))),IF(D5="Δ",IF(D11=0,P11,IF(D11=1,Q11,IF(D11=2,R11,IF(D11=3,S11,IF(D11=4,T11))))),0)))*B11</f>
        <v>0</v>
      </c>
      <c r="F11" s="235">
        <v>12</v>
      </c>
      <c r="G11" s="234">
        <f>ROUND((E11+E12+IF(E11+E12&gt;0,IF(E15&gt;0,0,E15),0))*F11,2)</f>
        <v>0</v>
      </c>
      <c r="H11" s="234"/>
      <c r="I11" s="234">
        <f>ROUND(G11*H5%,2)</f>
        <v>0</v>
      </c>
      <c r="J11" s="159" t="s">
        <v>102</v>
      </c>
      <c r="K11" s="121">
        <f>ROUND(K7*1.1,0)</f>
        <v>858</v>
      </c>
      <c r="L11" s="50">
        <f>ROUND(K11*1.1,0)</f>
        <v>944</v>
      </c>
      <c r="M11" s="46">
        <f>ROUND(L11*1.02,0)</f>
        <v>963</v>
      </c>
      <c r="N11" s="46">
        <f>ROUND(M11*1.02,0)</f>
        <v>982</v>
      </c>
      <c r="O11" s="63">
        <f>ROUND(N11*1.02,0)</f>
        <v>1002</v>
      </c>
      <c r="P11" s="54">
        <f>ROUND(L11*1.15,0)</f>
        <v>1086</v>
      </c>
      <c r="Q11" s="47">
        <f>ROUND(P11*1.02,0)</f>
        <v>1108</v>
      </c>
      <c r="R11" s="47">
        <f>ROUND(Q11*1.02,0)</f>
        <v>1130</v>
      </c>
      <c r="S11" s="64">
        <f>ROUND(R11*1.02,0)</f>
        <v>1153</v>
      </c>
      <c r="T11" s="63">
        <f>ROUND(S11*1.02,0)</f>
        <v>1176</v>
      </c>
      <c r="U11" s="58">
        <f>ROUND(P11*1.15,0)</f>
        <v>1249</v>
      </c>
      <c r="V11" s="48">
        <f>ROUND(U11*1.02,0)</f>
        <v>1274</v>
      </c>
      <c r="W11" s="48">
        <f>ROUND(V11*1.02,0)</f>
        <v>1299</v>
      </c>
      <c r="X11" s="48">
        <f>ROUND(W11*1.02,0)</f>
        <v>1325</v>
      </c>
      <c r="Y11" s="64">
        <f>ROUND(X11*1.02,0)</f>
        <v>1352</v>
      </c>
      <c r="Z11" s="63">
        <f>ROUND(Y11*1.02,0)</f>
        <v>1379</v>
      </c>
      <c r="AA11" s="153">
        <f>ROUND(U11*1.2,0)</f>
        <v>1499</v>
      </c>
      <c r="AB11" s="67">
        <f>ROUND(AA11*1.02,0)</f>
        <v>1529</v>
      </c>
      <c r="AC11" s="67">
        <f>ROUND(AB11*1.02,0)</f>
        <v>1560</v>
      </c>
      <c r="AD11" s="67">
        <f>ROUND(AC11*1.02,0)</f>
        <v>1591</v>
      </c>
      <c r="AE11" s="67">
        <f>ROUND(AD11*1.02,0)</f>
        <v>1623</v>
      </c>
      <c r="AF11" s="83"/>
      <c r="AG11" s="84"/>
      <c r="AH11" s="84"/>
      <c r="AI11" s="84"/>
    </row>
    <row r="12" spans="1:39" ht="12.75" customHeight="1">
      <c r="A12" s="272"/>
      <c r="B12" s="235"/>
      <c r="C12" s="85" t="s">
        <v>117</v>
      </c>
      <c r="D12" s="233"/>
      <c r="E12" s="17">
        <f>IF(D5="Γ",IF(D11=0,U11,IF(D11=1,V11,IF(D11=2,W11,IF(D11=3,X11,IF(D11=4,Y11,IF(D11=5,Z11)))))),IF(D5="Β",IF(D11=0,AA11,IF(D11=1,AB11,IF(D11=2,AC11,IF(D11=3,AD11,IF(D11=4,AE11))))),0))*B11</f>
        <v>0</v>
      </c>
      <c r="F12" s="235"/>
      <c r="G12" s="234"/>
      <c r="H12" s="234"/>
      <c r="I12" s="234"/>
      <c r="J12" s="164" t="s">
        <v>24</v>
      </c>
      <c r="K12" s="119" t="s">
        <v>126</v>
      </c>
      <c r="L12" s="51" t="s">
        <v>127</v>
      </c>
      <c r="M12" s="44" t="s">
        <v>128</v>
      </c>
      <c r="N12" s="60" t="s">
        <v>129</v>
      </c>
      <c r="O12" s="52" t="s">
        <v>130</v>
      </c>
      <c r="P12" s="45" t="s">
        <v>131</v>
      </c>
      <c r="Q12" s="299" t="s">
        <v>132</v>
      </c>
      <c r="R12" s="300"/>
      <c r="S12" s="86" t="s">
        <v>133</v>
      </c>
      <c r="T12" s="87" t="s">
        <v>134</v>
      </c>
      <c r="U12" s="299" t="s">
        <v>164</v>
      </c>
      <c r="V12" s="326"/>
      <c r="W12" s="327"/>
      <c r="X12" s="89" t="s">
        <v>136</v>
      </c>
      <c r="Y12" s="90" t="s">
        <v>137</v>
      </c>
      <c r="Z12" s="90" t="s">
        <v>138</v>
      </c>
      <c r="AA12" s="299" t="s">
        <v>165</v>
      </c>
      <c r="AB12" s="289"/>
      <c r="AC12" s="289"/>
      <c r="AD12" s="289"/>
      <c r="AE12" s="291"/>
      <c r="AF12" s="288" t="s">
        <v>164</v>
      </c>
      <c r="AG12" s="289"/>
      <c r="AH12" s="289"/>
      <c r="AI12" s="289"/>
      <c r="AJ12" s="289"/>
      <c r="AK12" s="290"/>
      <c r="AL12" s="290"/>
      <c r="AM12" s="291"/>
    </row>
    <row r="13" spans="1:39" ht="12.75" customHeight="1">
      <c r="A13" s="272"/>
      <c r="B13" s="235">
        <f>IF(A23=4,1,0)</f>
        <v>0</v>
      </c>
      <c r="C13" s="82" t="s">
        <v>119</v>
      </c>
      <c r="D13" s="233"/>
      <c r="E13" s="17">
        <f>IF(D5="ΣΤ",K7,IF(D5="Ε",IF(D11=0,L7,IF(D11=1,M7,IF(D11=2,N7,IF(D11=3,O7,IF(D11=4,P7,IF(D11=5,Q7)))))),IF(D5="Γ",IF(D11=6,AE7),0)))*B13</f>
        <v>0</v>
      </c>
      <c r="F13" s="235">
        <v>12</v>
      </c>
      <c r="G13" s="248">
        <f>ROUND((E13+E14+IF(E13+E14&gt;0,IF(E15&gt;0,0,E15),0))*F13,2)</f>
        <v>0</v>
      </c>
      <c r="H13" s="234"/>
      <c r="I13" s="234">
        <f>ROUND(G13*H5%,2)</f>
        <v>0</v>
      </c>
      <c r="J13" s="160" t="s">
        <v>109</v>
      </c>
      <c r="K13" s="117" t="s">
        <v>110</v>
      </c>
      <c r="L13" s="285" t="s">
        <v>111</v>
      </c>
      <c r="M13" s="302"/>
      <c r="N13" s="303"/>
      <c r="O13" s="301" t="s">
        <v>8</v>
      </c>
      <c r="P13" s="302"/>
      <c r="Q13" s="302"/>
      <c r="R13" s="303"/>
      <c r="S13" s="305" t="s">
        <v>113</v>
      </c>
      <c r="T13" s="286"/>
      <c r="U13" s="286"/>
      <c r="V13" s="286"/>
      <c r="W13" s="287"/>
      <c r="X13" s="328" t="s">
        <v>112</v>
      </c>
      <c r="Y13" s="329"/>
      <c r="Z13" s="329"/>
      <c r="AA13" s="329"/>
      <c r="AB13" s="329"/>
      <c r="AC13" s="286"/>
      <c r="AD13" s="286"/>
      <c r="AE13" s="294"/>
      <c r="AF13" s="292" t="s">
        <v>9</v>
      </c>
      <c r="AG13" s="293"/>
      <c r="AH13" s="293"/>
      <c r="AI13" s="293"/>
      <c r="AJ13" s="293"/>
      <c r="AK13" s="249"/>
      <c r="AL13" s="249"/>
      <c r="AM13" s="294"/>
    </row>
    <row r="14" spans="1:39" ht="12.75" customHeight="1">
      <c r="A14" s="272"/>
      <c r="B14" s="235"/>
      <c r="C14" s="82" t="s">
        <v>143</v>
      </c>
      <c r="D14" s="233"/>
      <c r="E14" s="17">
        <f>IF(D5="Δ",IF(D11=0,R7,IF(D11=1,S7,IF(D11=2,T7,IF(D11=3,U7,IF(D11=4,V7,IF(D11=5,W7,IF(D11=6,X7))))))),IF(D5="Γ",IF(D11=0,Y7,IF(D11=1,Z7,IF(D11=2,AA7,IF(D11=3,AB7,IF(D11=4,AC7,IF(D11=5,AD7)))))),0))*B13</f>
        <v>0</v>
      </c>
      <c r="F14" s="235"/>
      <c r="G14" s="248"/>
      <c r="H14" s="234"/>
      <c r="I14" s="234"/>
      <c r="J14" s="162" t="s">
        <v>100</v>
      </c>
      <c r="K14" s="120">
        <v>0</v>
      </c>
      <c r="L14" s="41">
        <v>0</v>
      </c>
      <c r="M14" s="40">
        <v>1</v>
      </c>
      <c r="N14" s="61">
        <v>2</v>
      </c>
      <c r="O14" s="53">
        <v>0</v>
      </c>
      <c r="P14" s="42">
        <v>1</v>
      </c>
      <c r="Q14" s="62">
        <v>2</v>
      </c>
      <c r="R14" s="91">
        <v>3</v>
      </c>
      <c r="S14" s="57">
        <v>0</v>
      </c>
      <c r="T14" s="43">
        <v>1</v>
      </c>
      <c r="U14" s="62">
        <v>2</v>
      </c>
      <c r="V14" s="62">
        <v>3</v>
      </c>
      <c r="W14" s="61">
        <v>4</v>
      </c>
      <c r="X14" s="59">
        <v>0</v>
      </c>
      <c r="Y14" s="92">
        <v>1</v>
      </c>
      <c r="Z14" s="92">
        <v>2</v>
      </c>
      <c r="AA14" s="62">
        <v>3</v>
      </c>
      <c r="AB14" s="62">
        <v>4</v>
      </c>
      <c r="AC14" s="62">
        <v>5</v>
      </c>
      <c r="AD14" s="62">
        <v>6</v>
      </c>
      <c r="AE14" s="61">
        <v>7</v>
      </c>
      <c r="AF14" s="93">
        <v>0</v>
      </c>
      <c r="AG14" s="33">
        <v>1</v>
      </c>
      <c r="AH14" s="33">
        <v>2</v>
      </c>
      <c r="AI14" s="33">
        <v>3</v>
      </c>
      <c r="AJ14" s="33">
        <v>4</v>
      </c>
      <c r="AK14" s="33">
        <v>5</v>
      </c>
      <c r="AL14" s="33">
        <v>6</v>
      </c>
      <c r="AM14" s="91">
        <v>7</v>
      </c>
    </row>
    <row r="15" spans="1:39" ht="12.75" customHeight="1" thickBot="1">
      <c r="A15" s="272"/>
      <c r="B15" s="1"/>
      <c r="C15" s="82" t="s">
        <v>202</v>
      </c>
      <c r="D15" s="249"/>
      <c r="E15" s="134">
        <v>0</v>
      </c>
      <c r="F15" s="3">
        <v>12</v>
      </c>
      <c r="G15" s="17">
        <f>IF(E15&gt;0,ROUND(E15*F15,2),0)</f>
        <v>0</v>
      </c>
      <c r="H15" s="17">
        <f>IF($A$4=1,21.22,10.55)</f>
        <v>10.55</v>
      </c>
      <c r="I15" s="17">
        <f>ROUND(G15*H15%,2)</f>
        <v>0</v>
      </c>
      <c r="J15" s="163" t="s">
        <v>103</v>
      </c>
      <c r="K15" s="118">
        <f>ROUND(K7*1.33,0)</f>
        <v>1037</v>
      </c>
      <c r="L15" s="50">
        <f>ROUND(K15*1.1,0)</f>
        <v>1141</v>
      </c>
      <c r="M15" s="46">
        <f>ROUND(L15*1.02,0)</f>
        <v>1164</v>
      </c>
      <c r="N15" s="63">
        <f>ROUND(M15*1.02,0)</f>
        <v>1187</v>
      </c>
      <c r="O15" s="54">
        <f>ROUND(L15*1.15,0)</f>
        <v>1312</v>
      </c>
      <c r="P15" s="47">
        <f>ROUND(O15*1.02,0)</f>
        <v>1338</v>
      </c>
      <c r="Q15" s="64">
        <f>ROUND(P15*1.02,0)</f>
        <v>1365</v>
      </c>
      <c r="R15" s="63">
        <f>ROUND(Q15*1.02,0)</f>
        <v>1392</v>
      </c>
      <c r="S15" s="58">
        <f>ROUND(O15*1.15,0)</f>
        <v>1509</v>
      </c>
      <c r="T15" s="48">
        <f>ROUND(S15*1.02,0)</f>
        <v>1539</v>
      </c>
      <c r="U15" s="64">
        <f>ROUND(T15*1.02,0)</f>
        <v>1570</v>
      </c>
      <c r="V15" s="64">
        <f>ROUND(U15*1.02,0)</f>
        <v>1601</v>
      </c>
      <c r="W15" s="64">
        <f>ROUND(V15*1.02,0)</f>
        <v>1633</v>
      </c>
      <c r="X15" s="55">
        <f>ROUND(S15*1.2,0)</f>
        <v>1811</v>
      </c>
      <c r="Y15" s="49">
        <f t="shared" ref="Y15:AE15" si="2">ROUND(X15*1.02,0)</f>
        <v>1847</v>
      </c>
      <c r="Z15" s="49">
        <f t="shared" si="2"/>
        <v>1884</v>
      </c>
      <c r="AA15" s="64">
        <f t="shared" si="2"/>
        <v>1922</v>
      </c>
      <c r="AB15" s="64">
        <f t="shared" si="2"/>
        <v>1960</v>
      </c>
      <c r="AC15" s="64">
        <f t="shared" si="2"/>
        <v>1999</v>
      </c>
      <c r="AD15" s="64">
        <f t="shared" si="2"/>
        <v>2039</v>
      </c>
      <c r="AE15" s="63">
        <f t="shared" si="2"/>
        <v>2080</v>
      </c>
      <c r="AF15" s="65">
        <f>ROUND(X15*1.1,0)</f>
        <v>1992</v>
      </c>
      <c r="AG15" s="64">
        <f t="shared" ref="AG15:AM15" si="3">ROUND(AF15*1.02,0)</f>
        <v>2032</v>
      </c>
      <c r="AH15" s="64">
        <f t="shared" si="3"/>
        <v>2073</v>
      </c>
      <c r="AI15" s="64">
        <f t="shared" si="3"/>
        <v>2114</v>
      </c>
      <c r="AJ15" s="64">
        <f t="shared" si="3"/>
        <v>2156</v>
      </c>
      <c r="AK15" s="64">
        <f t="shared" si="3"/>
        <v>2199</v>
      </c>
      <c r="AL15" s="64">
        <f t="shared" si="3"/>
        <v>2243</v>
      </c>
      <c r="AM15" s="63">
        <f t="shared" si="3"/>
        <v>2288</v>
      </c>
    </row>
    <row r="16" spans="1:39" ht="12.75" customHeight="1">
      <c r="A16" s="272"/>
      <c r="B16" s="12" t="s">
        <v>3</v>
      </c>
      <c r="C16" s="82" t="s">
        <v>59</v>
      </c>
      <c r="D16" s="233">
        <f>IF(D5=0,0,'ΜΙΣΘΟΔΟΣΙΑ ΜΟΝΙΜΩΝ'!D16)</f>
        <v>0</v>
      </c>
      <c r="E16" s="94">
        <f>IF(D16=0,K33,IF(D16=0,L33,IF(D16=1,M33,IF(D16=2,N33,IF(D16=3,O33,IF(D16=4,P33,IF(D16=5,Q33,IF(D16=6,R33,0))))))))</f>
        <v>0</v>
      </c>
      <c r="F16" s="235">
        <v>12</v>
      </c>
      <c r="G16" s="234">
        <f>ROUND((E16+E17)*F16,2)</f>
        <v>0</v>
      </c>
      <c r="H16" s="234">
        <f>IF($A$4=1,20.22,9.55)</f>
        <v>9.5500000000000007</v>
      </c>
      <c r="I16" s="234">
        <f>ROUND(G16*H16%,2)</f>
        <v>0</v>
      </c>
      <c r="J16" s="161" t="s">
        <v>24</v>
      </c>
      <c r="K16" s="119" t="s">
        <v>126</v>
      </c>
      <c r="L16" s="51" t="s">
        <v>127</v>
      </c>
      <c r="M16" s="44" t="s">
        <v>128</v>
      </c>
      <c r="N16" s="60" t="s">
        <v>129</v>
      </c>
      <c r="O16" s="52" t="s">
        <v>130</v>
      </c>
      <c r="P16" s="45" t="s">
        <v>131</v>
      </c>
      <c r="Q16" s="299" t="s">
        <v>132</v>
      </c>
      <c r="R16" s="300"/>
      <c r="S16" s="95" t="s">
        <v>133</v>
      </c>
      <c r="T16" s="96" t="s">
        <v>134</v>
      </c>
      <c r="U16" s="309" t="s">
        <v>164</v>
      </c>
      <c r="V16" s="324"/>
      <c r="W16" s="325"/>
      <c r="X16" s="89" t="s">
        <v>136</v>
      </c>
      <c r="Y16" s="90" t="s">
        <v>137</v>
      </c>
      <c r="Z16" s="299" t="s">
        <v>165</v>
      </c>
      <c r="AA16" s="289"/>
      <c r="AB16" s="289"/>
      <c r="AC16" s="289"/>
      <c r="AD16" s="289"/>
      <c r="AE16" s="291"/>
      <c r="AF16" s="288" t="s">
        <v>164</v>
      </c>
      <c r="AG16" s="289"/>
      <c r="AH16" s="289"/>
      <c r="AI16" s="289"/>
      <c r="AJ16" s="289"/>
      <c r="AK16" s="290"/>
      <c r="AL16" s="290"/>
      <c r="AM16" s="291"/>
    </row>
    <row r="17" spans="1:39" ht="12.75" customHeight="1">
      <c r="A17" s="272"/>
      <c r="B17" s="12" t="s">
        <v>4</v>
      </c>
      <c r="C17" s="82" t="s">
        <v>59</v>
      </c>
      <c r="D17" s="233"/>
      <c r="E17" s="94">
        <f>IF(D16=7,S33,IF(D16=8,T33,IF(D16=9,U33,IF(D16=10,V33,0))))</f>
        <v>0</v>
      </c>
      <c r="F17" s="235"/>
      <c r="G17" s="234"/>
      <c r="H17" s="234"/>
      <c r="I17" s="234"/>
      <c r="J17" s="160" t="s">
        <v>109</v>
      </c>
      <c r="K17" s="117" t="s">
        <v>110</v>
      </c>
      <c r="L17" s="285" t="s">
        <v>111</v>
      </c>
      <c r="M17" s="302"/>
      <c r="N17" s="303"/>
      <c r="O17" s="301" t="s">
        <v>8</v>
      </c>
      <c r="P17" s="302"/>
      <c r="Q17" s="302"/>
      <c r="R17" s="303"/>
      <c r="S17" s="305" t="s">
        <v>113</v>
      </c>
      <c r="T17" s="286"/>
      <c r="U17" s="286"/>
      <c r="V17" s="286"/>
      <c r="W17" s="287"/>
      <c r="X17" s="328" t="s">
        <v>112</v>
      </c>
      <c r="Y17" s="302"/>
      <c r="Z17" s="302"/>
      <c r="AA17" s="302"/>
      <c r="AB17" s="302"/>
      <c r="AC17" s="302"/>
      <c r="AD17" s="302"/>
      <c r="AE17" s="294"/>
      <c r="AF17" s="292" t="s">
        <v>9</v>
      </c>
      <c r="AG17" s="293"/>
      <c r="AH17" s="293"/>
      <c r="AI17" s="293"/>
      <c r="AJ17" s="293"/>
      <c r="AK17" s="249"/>
      <c r="AL17" s="249"/>
      <c r="AM17" s="294"/>
    </row>
    <row r="18" spans="1:39" ht="12.75" customHeight="1">
      <c r="A18" s="272"/>
      <c r="B18" s="12" t="s">
        <v>5</v>
      </c>
      <c r="C18" s="82" t="s">
        <v>58</v>
      </c>
      <c r="D18" s="233">
        <f>IF(D5=0,0,'ΜΙΣΘΟΔΟΣΙΑ ΜΟΝΙΜΩΝ'!D18)</f>
        <v>0</v>
      </c>
      <c r="E18" s="17">
        <f>IF(D18=1,P24,IF(D18=2,S24,IF(D18=3,V24,IF(D18=4,AA24,IF(D18=5,L29,IF(D18=6,T29,IF(D18=7,O24,0)))))))</f>
        <v>0</v>
      </c>
      <c r="F18" s="235">
        <v>12</v>
      </c>
      <c r="G18" s="234">
        <f>ROUND((E18+E19)*F18,2)</f>
        <v>0</v>
      </c>
      <c r="H18" s="234">
        <f>IF($A$4=1,23.22,19.22)</f>
        <v>19.22</v>
      </c>
      <c r="I18" s="234">
        <f>ROUND(G18*H18%,2)</f>
        <v>0</v>
      </c>
      <c r="J18" s="162" t="s">
        <v>100</v>
      </c>
      <c r="K18" s="120">
        <v>0</v>
      </c>
      <c r="L18" s="41">
        <v>0</v>
      </c>
      <c r="M18" s="40">
        <v>1</v>
      </c>
      <c r="N18" s="61">
        <v>2</v>
      </c>
      <c r="O18" s="53">
        <v>0</v>
      </c>
      <c r="P18" s="42">
        <v>1</v>
      </c>
      <c r="Q18" s="62">
        <v>2</v>
      </c>
      <c r="R18" s="61">
        <v>3</v>
      </c>
      <c r="S18" s="57">
        <v>0</v>
      </c>
      <c r="T18" s="43">
        <v>1</v>
      </c>
      <c r="U18" s="62">
        <v>2</v>
      </c>
      <c r="V18" s="62">
        <v>3</v>
      </c>
      <c r="W18" s="61">
        <v>4</v>
      </c>
      <c r="X18" s="59">
        <v>0</v>
      </c>
      <c r="Y18" s="92">
        <v>1</v>
      </c>
      <c r="Z18" s="62">
        <v>2</v>
      </c>
      <c r="AA18" s="62">
        <v>3</v>
      </c>
      <c r="AB18" s="62">
        <v>4</v>
      </c>
      <c r="AC18" s="62">
        <v>5</v>
      </c>
      <c r="AD18" s="62">
        <v>6</v>
      </c>
      <c r="AE18" s="61">
        <v>7</v>
      </c>
      <c r="AF18" s="93">
        <v>0</v>
      </c>
      <c r="AG18" s="33">
        <v>1</v>
      </c>
      <c r="AH18" s="33">
        <v>2</v>
      </c>
      <c r="AI18" s="33">
        <v>3</v>
      </c>
      <c r="AJ18" s="33">
        <v>4</v>
      </c>
      <c r="AK18" s="33">
        <v>5</v>
      </c>
      <c r="AL18" s="33">
        <v>6</v>
      </c>
      <c r="AM18" s="91">
        <v>7</v>
      </c>
    </row>
    <row r="19" spans="1:39" ht="12.75" customHeight="1" thickBot="1">
      <c r="A19" s="272"/>
      <c r="B19" s="12" t="s">
        <v>6</v>
      </c>
      <c r="C19" s="82" t="s">
        <v>58</v>
      </c>
      <c r="D19" s="233"/>
      <c r="E19" s="17">
        <f>IF(D18=8,M24,IF(D18=9,Y29,IF(D18=10,N24,IF(D18=11,L24,IF(D18=12,X29,0)))))</f>
        <v>0</v>
      </c>
      <c r="F19" s="235"/>
      <c r="G19" s="234"/>
      <c r="H19" s="234"/>
      <c r="I19" s="234"/>
      <c r="J19" s="159" t="s">
        <v>104</v>
      </c>
      <c r="K19" s="121">
        <f>ROUND(K7*1.4,0)</f>
        <v>1092</v>
      </c>
      <c r="L19" s="50">
        <f>ROUND(K19*1.1,0)</f>
        <v>1201</v>
      </c>
      <c r="M19" s="46">
        <f>ROUND(L19*1.02,0)</f>
        <v>1225</v>
      </c>
      <c r="N19" s="63">
        <f>ROUND(M19*1.02,0)</f>
        <v>1250</v>
      </c>
      <c r="O19" s="54">
        <f>ROUND(L19*1.15,0)</f>
        <v>1381</v>
      </c>
      <c r="P19" s="47">
        <f>ROUND(O19*1.02,0)</f>
        <v>1409</v>
      </c>
      <c r="Q19" s="64">
        <f>ROUND(P19*1.02,0)</f>
        <v>1437</v>
      </c>
      <c r="R19" s="63">
        <f>ROUND(Q19*1.02,0)</f>
        <v>1466</v>
      </c>
      <c r="S19" s="58">
        <f>ROUND(O19*1.15,0)</f>
        <v>1588</v>
      </c>
      <c r="T19" s="48">
        <f>ROUND(S19*1.02,0)</f>
        <v>1620</v>
      </c>
      <c r="U19" s="64">
        <f>ROUND(T19*1.02,0)</f>
        <v>1652</v>
      </c>
      <c r="V19" s="64">
        <f>ROUND(U19*1.02,0)</f>
        <v>1685</v>
      </c>
      <c r="W19" s="64">
        <f>ROUND(V19*1.02,0)</f>
        <v>1719</v>
      </c>
      <c r="X19" s="55">
        <f>ROUND(S19*1.2,0)</f>
        <v>1906</v>
      </c>
      <c r="Y19" s="49">
        <f t="shared" ref="Y19:AE19" si="4">ROUND(X19*1.02,0)</f>
        <v>1944</v>
      </c>
      <c r="Z19" s="64">
        <f t="shared" si="4"/>
        <v>1983</v>
      </c>
      <c r="AA19" s="64">
        <f t="shared" si="4"/>
        <v>2023</v>
      </c>
      <c r="AB19" s="64">
        <f t="shared" si="4"/>
        <v>2063</v>
      </c>
      <c r="AC19" s="64">
        <f t="shared" si="4"/>
        <v>2104</v>
      </c>
      <c r="AD19" s="64">
        <f t="shared" si="4"/>
        <v>2146</v>
      </c>
      <c r="AE19" s="63">
        <f t="shared" si="4"/>
        <v>2189</v>
      </c>
      <c r="AF19" s="65">
        <f>ROUND(X19*1.1,0)</f>
        <v>2097</v>
      </c>
      <c r="AG19" s="64">
        <f t="shared" ref="AG19:AM19" si="5">ROUND(AF19*1.02,0)</f>
        <v>2139</v>
      </c>
      <c r="AH19" s="64">
        <f t="shared" si="5"/>
        <v>2182</v>
      </c>
      <c r="AI19" s="64">
        <f t="shared" si="5"/>
        <v>2226</v>
      </c>
      <c r="AJ19" s="64">
        <f t="shared" si="5"/>
        <v>2271</v>
      </c>
      <c r="AK19" s="64">
        <f t="shared" si="5"/>
        <v>2316</v>
      </c>
      <c r="AL19" s="64">
        <f t="shared" si="5"/>
        <v>2362</v>
      </c>
      <c r="AM19" s="63">
        <f t="shared" si="5"/>
        <v>2409</v>
      </c>
    </row>
    <row r="20" spans="1:39" ht="12.75" customHeight="1">
      <c r="A20" s="272"/>
      <c r="B20" s="12" t="s">
        <v>7</v>
      </c>
      <c r="C20" s="82" t="s">
        <v>114</v>
      </c>
      <c r="D20" s="24">
        <f>IF(D5=0,0,'ΜΙΣΘΟΔΟΣΙΑ ΜΟΝΙΜΩΝ'!D20)</f>
        <v>0</v>
      </c>
      <c r="E20" s="17">
        <f>IF(D20=1,AB29,0)</f>
        <v>0</v>
      </c>
      <c r="F20" s="16">
        <v>12</v>
      </c>
      <c r="G20" s="17">
        <f>ROUND(E20*F20,2)</f>
        <v>0</v>
      </c>
      <c r="H20" s="17">
        <f>IF($A$4=1,20.22,9.55)</f>
        <v>9.5500000000000007</v>
      </c>
      <c r="I20" s="17">
        <f>ROUND(G20*H20%,2)</f>
        <v>0</v>
      </c>
      <c r="J20" s="158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15"/>
      <c r="AG20" s="15"/>
      <c r="AH20" s="15"/>
      <c r="AI20" s="15"/>
    </row>
    <row r="21" spans="1:39" ht="12.75" customHeight="1">
      <c r="A21" s="273"/>
      <c r="B21" s="12" t="s">
        <v>4</v>
      </c>
      <c r="C21" s="82" t="s">
        <v>172</v>
      </c>
      <c r="D21" s="24">
        <f>IF(D5=0,0,'ΜΙΣΘΟΔΟΣΙΑ ΜΟΝΙΜΩΝ'!D21)</f>
        <v>0</v>
      </c>
      <c r="E21" s="17">
        <f>IF(D21=1,AC29,IF(D21=2,AD29,IF(D21=3,AE29,0)))</f>
        <v>0</v>
      </c>
      <c r="F21" s="16">
        <v>12</v>
      </c>
      <c r="G21" s="17">
        <f>ROUND(E21*F21,2)</f>
        <v>0</v>
      </c>
      <c r="H21" s="17">
        <f>IF($A$4=1,20.22,9.55)</f>
        <v>9.5500000000000007</v>
      </c>
      <c r="I21" s="17">
        <f>ROUND(G21*H21%,2)</f>
        <v>0</v>
      </c>
      <c r="J21" s="10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34"/>
      <c r="AC21" s="34"/>
      <c r="AD21" s="34"/>
      <c r="AE21" s="34"/>
      <c r="AF21" s="15"/>
      <c r="AG21" s="15"/>
      <c r="AH21" s="15"/>
      <c r="AI21" s="15"/>
    </row>
    <row r="22" spans="1:39" ht="12.75" customHeight="1">
      <c r="A22" s="24"/>
      <c r="B22" s="12"/>
      <c r="C22" s="82" t="s">
        <v>40</v>
      </c>
      <c r="D22" s="174">
        <f>'ΜΙΣΘΟΔΟΣΙΑ ΜΟΝΙΜΩΝ'!D22</f>
        <v>0</v>
      </c>
      <c r="E22" s="17"/>
      <c r="F22" s="16">
        <v>12</v>
      </c>
      <c r="G22" s="17"/>
      <c r="H22" s="17">
        <f>D22</f>
        <v>0</v>
      </c>
      <c r="I22" s="17">
        <f t="shared" ref="I22:I28" si="6">ROUND(F22*H22,2)</f>
        <v>0</v>
      </c>
      <c r="J22" s="284" t="s">
        <v>78</v>
      </c>
      <c r="K22" s="235"/>
      <c r="L22" s="24" t="s">
        <v>123</v>
      </c>
      <c r="M22" s="283" t="s">
        <v>159</v>
      </c>
      <c r="N22" s="235"/>
      <c r="O22" s="12" t="s">
        <v>21</v>
      </c>
      <c r="P22" s="281" t="s">
        <v>162</v>
      </c>
      <c r="Q22" s="282"/>
      <c r="R22" s="238"/>
      <c r="S22" s="281" t="s">
        <v>163</v>
      </c>
      <c r="T22" s="282"/>
      <c r="U22" s="238"/>
      <c r="V22" s="283" t="s">
        <v>148</v>
      </c>
      <c r="W22" s="235"/>
      <c r="X22" s="235"/>
      <c r="Y22" s="235"/>
      <c r="Z22" s="249"/>
      <c r="AA22" s="283" t="s">
        <v>149</v>
      </c>
      <c r="AB22" s="235"/>
      <c r="AC22" s="235"/>
      <c r="AD22" s="235"/>
      <c r="AE22" s="258"/>
      <c r="AF22" s="15"/>
      <c r="AG22" s="15"/>
      <c r="AH22" s="15"/>
      <c r="AI22" s="15"/>
    </row>
    <row r="23" spans="1:39" ht="12.75" customHeight="1">
      <c r="A23" s="21">
        <f>'ΜΙΣΘΟΔΟΣΙΑ ΜΟΝΙΜΩΝ'!A23</f>
        <v>1</v>
      </c>
      <c r="B23" s="12"/>
      <c r="C23" s="82" t="s">
        <v>81</v>
      </c>
      <c r="D23" s="174">
        <f>'ΜΙΣΘΟΔΟΣΙΑ ΜΟΝΙΜΩΝ'!D23</f>
        <v>0</v>
      </c>
      <c r="E23" s="17"/>
      <c r="F23" s="16">
        <v>12</v>
      </c>
      <c r="G23" s="17"/>
      <c r="H23" s="17">
        <f>D23</f>
        <v>0</v>
      </c>
      <c r="I23" s="17">
        <f t="shared" si="6"/>
        <v>0</v>
      </c>
      <c r="J23" s="284" t="s">
        <v>41</v>
      </c>
      <c r="K23" s="235"/>
      <c r="L23" s="24" t="s">
        <v>122</v>
      </c>
      <c r="M23" s="12" t="s">
        <v>19</v>
      </c>
      <c r="N23" s="24" t="s">
        <v>171</v>
      </c>
      <c r="O23" s="12" t="s">
        <v>22</v>
      </c>
      <c r="P23" s="12" t="s">
        <v>160</v>
      </c>
      <c r="Q23" s="12" t="s">
        <v>161</v>
      </c>
      <c r="R23" s="12" t="s">
        <v>99</v>
      </c>
      <c r="S23" s="12" t="s">
        <v>160</v>
      </c>
      <c r="T23" s="12" t="s">
        <v>161</v>
      </c>
      <c r="U23" s="12" t="s">
        <v>99</v>
      </c>
      <c r="V23" s="12" t="s">
        <v>15</v>
      </c>
      <c r="W23" s="28" t="s">
        <v>201</v>
      </c>
      <c r="X23" s="28" t="s">
        <v>168</v>
      </c>
      <c r="Y23" s="21" t="s">
        <v>155</v>
      </c>
      <c r="Z23" s="28" t="s">
        <v>145</v>
      </c>
      <c r="AA23" s="12" t="s">
        <v>15</v>
      </c>
      <c r="AB23" s="28" t="s">
        <v>201</v>
      </c>
      <c r="AC23" s="28" t="s">
        <v>168</v>
      </c>
      <c r="AD23" s="21" t="s">
        <v>155</v>
      </c>
      <c r="AE23" s="28" t="s">
        <v>145</v>
      </c>
      <c r="AF23" s="15"/>
    </row>
    <row r="24" spans="1:39" ht="12.75" customHeight="1">
      <c r="A24" s="257" t="s">
        <v>268</v>
      </c>
      <c r="B24" s="12"/>
      <c r="C24" s="82" t="s">
        <v>80</v>
      </c>
      <c r="D24" s="174">
        <v>0</v>
      </c>
      <c r="E24" s="17"/>
      <c r="F24" s="16">
        <v>12</v>
      </c>
      <c r="G24" s="17"/>
      <c r="H24" s="17">
        <f>D24</f>
        <v>0</v>
      </c>
      <c r="I24" s="17">
        <f t="shared" si="6"/>
        <v>0</v>
      </c>
      <c r="J24" s="280" t="s">
        <v>58</v>
      </c>
      <c r="K24" s="235"/>
      <c r="L24" s="17">
        <v>900</v>
      </c>
      <c r="M24" s="17">
        <v>550</v>
      </c>
      <c r="N24" s="17">
        <v>450</v>
      </c>
      <c r="O24" s="17">
        <v>400</v>
      </c>
      <c r="P24" s="17">
        <v>350</v>
      </c>
      <c r="Q24" s="17">
        <v>350</v>
      </c>
      <c r="R24" s="17">
        <v>350</v>
      </c>
      <c r="S24" s="17">
        <v>300</v>
      </c>
      <c r="T24" s="17">
        <v>300</v>
      </c>
      <c r="U24" s="17">
        <v>300</v>
      </c>
      <c r="V24" s="17">
        <v>300</v>
      </c>
      <c r="W24" s="17">
        <v>300</v>
      </c>
      <c r="X24" s="17">
        <v>300</v>
      </c>
      <c r="Y24" s="17">
        <v>300</v>
      </c>
      <c r="Z24" s="17">
        <v>300</v>
      </c>
      <c r="AA24" s="17">
        <v>250</v>
      </c>
      <c r="AB24" s="17">
        <v>250</v>
      </c>
      <c r="AC24" s="17">
        <v>250</v>
      </c>
      <c r="AD24" s="17">
        <v>250</v>
      </c>
      <c r="AE24" s="17">
        <v>250</v>
      </c>
      <c r="AF24" s="15"/>
    </row>
    <row r="25" spans="1:39" ht="12.75" customHeight="1">
      <c r="A25" s="249"/>
      <c r="B25" s="12"/>
      <c r="C25" s="82" t="s">
        <v>63</v>
      </c>
      <c r="D25" s="174">
        <f>'ΜΙΣΘΟΔΟΣΙΑ ΜΟΝΙΜΩΝ'!D24</f>
        <v>0</v>
      </c>
      <c r="E25" s="17"/>
      <c r="F25" s="16">
        <v>0</v>
      </c>
      <c r="G25" s="17"/>
      <c r="H25" s="17">
        <f>D25</f>
        <v>0</v>
      </c>
      <c r="I25" s="17">
        <f t="shared" si="6"/>
        <v>0</v>
      </c>
      <c r="J25" s="10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"/>
      <c r="AC25" s="1"/>
      <c r="AD25" s="34"/>
      <c r="AE25" s="34"/>
      <c r="AF25" s="15"/>
    </row>
    <row r="26" spans="1:39" ht="12.75" customHeight="1">
      <c r="A26" s="249"/>
      <c r="B26" s="12"/>
      <c r="C26" s="82" t="s">
        <v>60</v>
      </c>
      <c r="D26" s="174">
        <f>'ΜΙΣΘΟΔΟΣΙΑ ΜΟΝΙΜΩΝ'!D25</f>
        <v>0</v>
      </c>
      <c r="E26" s="17"/>
      <c r="F26" s="16">
        <v>12</v>
      </c>
      <c r="G26" s="17"/>
      <c r="H26" s="17">
        <f>D26</f>
        <v>0</v>
      </c>
      <c r="I26" s="17">
        <f t="shared" si="6"/>
        <v>0</v>
      </c>
      <c r="J26" s="10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34"/>
      <c r="AC26" s="34"/>
      <c r="AD26" s="34"/>
      <c r="AE26" s="34"/>
      <c r="AF26" s="15"/>
    </row>
    <row r="27" spans="1:39" ht="12.75" customHeight="1">
      <c r="A27" s="249"/>
      <c r="B27" s="12"/>
      <c r="C27" s="82" t="s">
        <v>97</v>
      </c>
      <c r="D27" s="30">
        <f>IF($A$23&gt;0,140.8,0)</f>
        <v>140.80000000000001</v>
      </c>
      <c r="E27" s="17"/>
      <c r="F27" s="16">
        <v>12</v>
      </c>
      <c r="G27" s="17"/>
      <c r="H27" s="17">
        <f>ROUND(D27*4%,2)</f>
        <v>5.63</v>
      </c>
      <c r="I27" s="17">
        <f t="shared" si="6"/>
        <v>67.56</v>
      </c>
      <c r="J27" s="284" t="s">
        <v>78</v>
      </c>
      <c r="K27" s="235"/>
      <c r="L27" s="283" t="s">
        <v>147</v>
      </c>
      <c r="M27" s="238"/>
      <c r="N27" s="238"/>
      <c r="O27" s="238"/>
      <c r="P27" s="238"/>
      <c r="Q27" s="238"/>
      <c r="R27" s="233" t="s">
        <v>156</v>
      </c>
      <c r="S27" s="238"/>
      <c r="T27" s="283" t="s">
        <v>45</v>
      </c>
      <c r="U27" s="235"/>
      <c r="V27" s="235"/>
      <c r="W27" s="235"/>
      <c r="X27" s="238"/>
      <c r="Y27" s="249"/>
      <c r="Z27" s="12" t="s">
        <v>122</v>
      </c>
      <c r="AA27" s="28" t="s">
        <v>16</v>
      </c>
      <c r="AB27" s="143" t="s">
        <v>196</v>
      </c>
      <c r="AC27" s="269" t="s">
        <v>195</v>
      </c>
      <c r="AD27" s="235"/>
      <c r="AE27" s="269"/>
      <c r="AF27" s="15"/>
    </row>
    <row r="28" spans="1:39" ht="12.75" customHeight="1">
      <c r="A28" s="249"/>
      <c r="B28" s="12"/>
      <c r="C28" s="82" t="s">
        <v>89</v>
      </c>
      <c r="D28" s="30">
        <f>IF($A$23&gt;0,140.8,0)</f>
        <v>140.80000000000001</v>
      </c>
      <c r="E28" s="17"/>
      <c r="F28" s="16">
        <v>12</v>
      </c>
      <c r="G28" s="17"/>
      <c r="H28" s="17">
        <f>ROUND(D28*6.67%,2)</f>
        <v>9.39</v>
      </c>
      <c r="I28" s="17">
        <f t="shared" si="6"/>
        <v>112.68</v>
      </c>
      <c r="J28" s="284" t="s">
        <v>41</v>
      </c>
      <c r="K28" s="235"/>
      <c r="L28" s="12" t="s">
        <v>160</v>
      </c>
      <c r="M28" s="12" t="s">
        <v>161</v>
      </c>
      <c r="N28" s="12" t="s">
        <v>99</v>
      </c>
      <c r="O28" s="12" t="s">
        <v>15</v>
      </c>
      <c r="P28" s="28" t="s">
        <v>154</v>
      </c>
      <c r="Q28" s="28" t="s">
        <v>145</v>
      </c>
      <c r="R28" s="28" t="s">
        <v>157</v>
      </c>
      <c r="S28" s="21" t="s">
        <v>158</v>
      </c>
      <c r="T28" s="28" t="s">
        <v>146</v>
      </c>
      <c r="U28" s="107" t="s">
        <v>152</v>
      </c>
      <c r="V28" s="128" t="s">
        <v>166</v>
      </c>
      <c r="W28" s="12" t="s">
        <v>106</v>
      </c>
      <c r="X28" s="12" t="s">
        <v>77</v>
      </c>
      <c r="Y28" s="21" t="s">
        <v>153</v>
      </c>
      <c r="Z28" s="12" t="s">
        <v>115</v>
      </c>
      <c r="AA28" s="28" t="s">
        <v>17</v>
      </c>
      <c r="AB28" s="28" t="s">
        <v>197</v>
      </c>
      <c r="AC28" s="28" t="s">
        <v>198</v>
      </c>
      <c r="AD28" s="28" t="s">
        <v>199</v>
      </c>
      <c r="AE28" s="28" t="s">
        <v>200</v>
      </c>
      <c r="AF28" s="15"/>
    </row>
    <row r="29" spans="1:39" ht="12.75" customHeight="1">
      <c r="A29" s="249"/>
      <c r="B29" s="12"/>
      <c r="C29" s="82"/>
      <c r="D29" s="30"/>
      <c r="E29" s="17"/>
      <c r="F29" s="16"/>
      <c r="G29" s="17"/>
      <c r="H29" s="17"/>
      <c r="I29" s="17"/>
      <c r="J29" s="280" t="s">
        <v>58</v>
      </c>
      <c r="K29" s="235"/>
      <c r="L29" s="17">
        <v>150</v>
      </c>
      <c r="M29" s="4">
        <v>150</v>
      </c>
      <c r="N29" s="17">
        <v>150</v>
      </c>
      <c r="O29" s="17">
        <v>150</v>
      </c>
      <c r="P29" s="17">
        <v>150</v>
      </c>
      <c r="Q29" s="17">
        <v>150</v>
      </c>
      <c r="R29" s="17">
        <v>150</v>
      </c>
      <c r="S29" s="17">
        <v>150</v>
      </c>
      <c r="T29" s="17">
        <v>100</v>
      </c>
      <c r="U29" s="17">
        <v>100</v>
      </c>
      <c r="V29" s="17">
        <v>100</v>
      </c>
      <c r="W29" s="147">
        <v>150</v>
      </c>
      <c r="X29" s="147">
        <v>250</v>
      </c>
      <c r="Y29" s="148">
        <v>300</v>
      </c>
      <c r="Z29" s="147">
        <v>300</v>
      </c>
      <c r="AA29" s="149" t="s">
        <v>120</v>
      </c>
      <c r="AB29" s="147">
        <v>100</v>
      </c>
      <c r="AC29" s="147">
        <v>150</v>
      </c>
      <c r="AD29" s="147">
        <v>70</v>
      </c>
      <c r="AE29" s="147">
        <v>35</v>
      </c>
      <c r="AF29" s="15"/>
    </row>
    <row r="30" spans="1:39" ht="12.75" customHeight="1">
      <c r="A30" s="249"/>
      <c r="B30" s="12"/>
      <c r="C30" s="34"/>
      <c r="D30" s="16"/>
      <c r="E30" s="17"/>
      <c r="F30" s="16"/>
      <c r="G30" s="17"/>
      <c r="H30" s="17"/>
      <c r="I30" s="17"/>
      <c r="J30" s="106"/>
      <c r="K30" s="24"/>
      <c r="L30" s="12"/>
      <c r="M30" s="98"/>
      <c r="N30" s="12"/>
      <c r="O30" s="12"/>
      <c r="P30" s="12"/>
      <c r="Q30" s="12"/>
      <c r="R30" s="12"/>
      <c r="S30" s="12"/>
      <c r="T30" s="12"/>
      <c r="U30" s="12"/>
      <c r="V30" s="24"/>
      <c r="W30" s="150"/>
      <c r="X30" s="151"/>
      <c r="Y30" s="151"/>
      <c r="Z30" s="151"/>
      <c r="AA30" s="151"/>
      <c r="AB30" s="144"/>
      <c r="AC30" s="144"/>
      <c r="AD30" s="144"/>
      <c r="AE30" s="144"/>
      <c r="AF30" s="15"/>
    </row>
    <row r="31" spans="1:39" ht="12.75" customHeight="1">
      <c r="A31" s="249"/>
      <c r="B31" s="12"/>
      <c r="C31" s="34"/>
      <c r="D31" s="16"/>
      <c r="E31" s="17"/>
      <c r="F31" s="16"/>
      <c r="G31" s="17"/>
      <c r="H31" s="17"/>
      <c r="I31" s="17"/>
      <c r="J31" s="106"/>
      <c r="K31" s="24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79"/>
      <c r="X31" s="11"/>
      <c r="Y31" s="11"/>
      <c r="Z31" s="11"/>
      <c r="AA31" s="11"/>
      <c r="AB31" s="84"/>
      <c r="AC31" s="84"/>
      <c r="AD31" s="84"/>
      <c r="AE31" s="84"/>
      <c r="AF31" s="15"/>
      <c r="AG31" s="15"/>
      <c r="AH31" s="15"/>
      <c r="AI31" s="15"/>
    </row>
    <row r="32" spans="1:39" ht="12.75" customHeight="1">
      <c r="A32" s="249"/>
      <c r="B32" s="12"/>
      <c r="C32" s="34"/>
      <c r="D32" s="16"/>
      <c r="E32" s="17"/>
      <c r="F32" s="16"/>
      <c r="G32" s="17"/>
      <c r="H32" s="17"/>
      <c r="I32" s="17"/>
      <c r="J32" s="106" t="s">
        <v>17</v>
      </c>
      <c r="K32" s="12" t="s">
        <v>14</v>
      </c>
      <c r="L32" s="12" t="s">
        <v>13</v>
      </c>
      <c r="M32" s="12" t="s">
        <v>64</v>
      </c>
      <c r="N32" s="12" t="s">
        <v>65</v>
      </c>
      <c r="O32" s="12" t="s">
        <v>66</v>
      </c>
      <c r="P32" s="12" t="s">
        <v>67</v>
      </c>
      <c r="Q32" s="12" t="s">
        <v>68</v>
      </c>
      <c r="R32" s="12" t="s">
        <v>69</v>
      </c>
      <c r="S32" s="12" t="s">
        <v>70</v>
      </c>
      <c r="T32" s="12" t="s">
        <v>71</v>
      </c>
      <c r="U32" s="12" t="s">
        <v>74</v>
      </c>
      <c r="V32" s="12" t="s">
        <v>151</v>
      </c>
      <c r="W32" s="79"/>
      <c r="X32" s="11"/>
      <c r="Y32" s="11"/>
      <c r="Z32" s="11"/>
      <c r="AA32" s="11"/>
      <c r="AB32" s="5"/>
      <c r="AC32" s="5"/>
      <c r="AD32" s="84"/>
      <c r="AE32" s="84"/>
      <c r="AF32" s="84"/>
      <c r="AG32" s="84"/>
      <c r="AH32" s="84"/>
      <c r="AI32" s="15"/>
    </row>
    <row r="33" spans="1:35" ht="12.75" customHeight="1">
      <c r="A33" s="249"/>
      <c r="B33" s="12"/>
      <c r="C33" s="82"/>
      <c r="D33" s="16"/>
      <c r="E33" s="17"/>
      <c r="F33" s="39"/>
      <c r="G33" s="17"/>
      <c r="H33" s="17"/>
      <c r="I33" s="17"/>
      <c r="J33" s="106" t="s">
        <v>72</v>
      </c>
      <c r="K33" s="94">
        <f>K35</f>
        <v>0</v>
      </c>
      <c r="L33" s="17">
        <f t="shared" ref="L33:V33" si="7">K33+L35</f>
        <v>0</v>
      </c>
      <c r="M33" s="17">
        <f t="shared" si="7"/>
        <v>50</v>
      </c>
      <c r="N33" s="17">
        <f t="shared" si="7"/>
        <v>70</v>
      </c>
      <c r="O33" s="17">
        <f t="shared" si="7"/>
        <v>120</v>
      </c>
      <c r="P33" s="17">
        <f t="shared" si="7"/>
        <v>170</v>
      </c>
      <c r="Q33" s="17">
        <f t="shared" si="7"/>
        <v>240</v>
      </c>
      <c r="R33" s="17">
        <f t="shared" si="7"/>
        <v>310</v>
      </c>
      <c r="S33" s="17">
        <f t="shared" si="7"/>
        <v>380</v>
      </c>
      <c r="T33" s="17">
        <f t="shared" si="7"/>
        <v>450</v>
      </c>
      <c r="U33" s="17">
        <f t="shared" si="7"/>
        <v>520</v>
      </c>
      <c r="V33" s="17">
        <f t="shared" si="7"/>
        <v>590</v>
      </c>
      <c r="W33" s="152"/>
      <c r="X33" s="5"/>
      <c r="Y33" s="5"/>
      <c r="Z33" s="5"/>
      <c r="AA33" s="5"/>
      <c r="AB33" s="5"/>
      <c r="AC33" s="5"/>
      <c r="AD33" s="84"/>
      <c r="AE33" s="84"/>
      <c r="AF33" s="5"/>
      <c r="AG33" s="5"/>
      <c r="AH33" s="5"/>
    </row>
    <row r="34" spans="1:35" ht="12.75" customHeight="1">
      <c r="A34" s="249"/>
      <c r="B34" s="12"/>
      <c r="C34" s="82"/>
      <c r="D34" s="16"/>
      <c r="E34" s="17"/>
      <c r="F34" s="16"/>
      <c r="G34" s="17"/>
      <c r="H34" s="17"/>
      <c r="I34" s="17"/>
      <c r="J34" s="106" t="s">
        <v>75</v>
      </c>
      <c r="K34" s="12" t="s">
        <v>14</v>
      </c>
      <c r="L34" s="28" t="s">
        <v>33</v>
      </c>
      <c r="M34" s="28" t="s">
        <v>25</v>
      </c>
      <c r="N34" s="28" t="s">
        <v>26</v>
      </c>
      <c r="O34" s="28" t="s">
        <v>27</v>
      </c>
      <c r="P34" s="28" t="s">
        <v>28</v>
      </c>
      <c r="Q34" s="28" t="s">
        <v>29</v>
      </c>
      <c r="R34" s="28" t="s">
        <v>30</v>
      </c>
      <c r="S34" s="28" t="s">
        <v>31</v>
      </c>
      <c r="T34" s="28" t="s">
        <v>32</v>
      </c>
      <c r="U34" s="28" t="s">
        <v>73</v>
      </c>
      <c r="V34" s="28" t="s">
        <v>150</v>
      </c>
      <c r="W34" s="152"/>
      <c r="X34" s="5"/>
      <c r="Y34" s="5"/>
      <c r="Z34" s="5"/>
      <c r="AA34" s="5"/>
      <c r="AB34" s="5"/>
      <c r="AC34" s="5"/>
      <c r="AD34" s="84"/>
      <c r="AE34" s="84"/>
      <c r="AF34" s="5"/>
      <c r="AG34" s="5"/>
      <c r="AH34" s="5"/>
    </row>
    <row r="35" spans="1:35" ht="12.75" customHeight="1">
      <c r="A35" s="249"/>
      <c r="B35" s="12"/>
      <c r="C35" s="34"/>
      <c r="D35" s="16"/>
      <c r="E35" s="154">
        <f>E5+E6+E7+E8+E9+E10+E11+E12+E13+E14</f>
        <v>0</v>
      </c>
      <c r="F35" s="16"/>
      <c r="G35" s="16"/>
      <c r="H35" s="16"/>
      <c r="I35" s="17"/>
      <c r="J35" s="166" t="s">
        <v>76</v>
      </c>
      <c r="K35" s="146">
        <v>0</v>
      </c>
      <c r="L35" s="146">
        <v>0</v>
      </c>
      <c r="M35" s="146">
        <v>50</v>
      </c>
      <c r="N35" s="146">
        <v>20</v>
      </c>
      <c r="O35" s="146">
        <v>50</v>
      </c>
      <c r="P35" s="146">
        <v>50</v>
      </c>
      <c r="Q35" s="146">
        <v>70</v>
      </c>
      <c r="R35" s="146">
        <v>70</v>
      </c>
      <c r="S35" s="146">
        <v>70</v>
      </c>
      <c r="T35" s="146">
        <v>70</v>
      </c>
      <c r="U35" s="146">
        <v>70</v>
      </c>
      <c r="V35" s="146">
        <v>70</v>
      </c>
      <c r="W35" s="152"/>
      <c r="X35" s="5"/>
      <c r="Y35" s="5"/>
      <c r="Z35" s="5"/>
      <c r="AA35" s="5"/>
      <c r="AB35" s="5"/>
      <c r="AC35" s="5"/>
      <c r="AD35" s="84"/>
      <c r="AE35" s="84"/>
      <c r="AF35" s="5"/>
      <c r="AG35" s="5"/>
      <c r="AH35" s="5"/>
    </row>
    <row r="36" spans="1:35" ht="12.75" customHeight="1">
      <c r="A36" s="249"/>
      <c r="B36" s="12"/>
      <c r="C36" s="16" t="s">
        <v>208</v>
      </c>
      <c r="D36" s="16"/>
      <c r="E36" s="99">
        <f>E5+E6+E7+E8+E9+E10+E11+E12+E13+E14+E15+E16+E17+E18+E19+E20+E21</f>
        <v>0</v>
      </c>
      <c r="F36" s="16"/>
      <c r="G36" s="17">
        <f>G5+G8+G11+G13+G15+G16+G18+G20+G21</f>
        <v>0</v>
      </c>
      <c r="H36" s="17"/>
      <c r="I36" s="17">
        <f>I5+I8+I11+I13+I15+I16+I18+I20+I21+I22+I23+I24+I25+I26+I27+I28</f>
        <v>180.24</v>
      </c>
      <c r="J36" s="10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"/>
      <c r="W36" s="79"/>
      <c r="X36" s="11"/>
      <c r="Y36" s="11"/>
      <c r="Z36" s="11"/>
      <c r="AA36" s="11"/>
      <c r="AB36" s="37"/>
      <c r="AC36" s="37"/>
      <c r="AD36" s="84"/>
      <c r="AE36" s="84"/>
      <c r="AF36" s="37"/>
      <c r="AI36" s="15"/>
    </row>
    <row r="37" spans="1:35" s="5" customFormat="1">
      <c r="A37" s="7"/>
    </row>
    <row r="38" spans="1:35" s="5" customFormat="1">
      <c r="A38" s="7"/>
    </row>
    <row r="39" spans="1:35" s="5" customFormat="1">
      <c r="A39" s="7"/>
    </row>
    <row r="40" spans="1:35" s="5" customFormat="1">
      <c r="A40" s="7"/>
    </row>
    <row r="41" spans="1:35" s="5" customFormat="1">
      <c r="A41" s="7"/>
    </row>
    <row r="42" spans="1:35" s="5" customFormat="1">
      <c r="A42" s="7"/>
    </row>
    <row r="43" spans="1:35" s="5" customFormat="1">
      <c r="A43" s="7"/>
    </row>
    <row r="44" spans="1:35" s="5" customFormat="1">
      <c r="A44" s="7"/>
    </row>
    <row r="45" spans="1:35" s="5" customFormat="1">
      <c r="A45" s="7"/>
    </row>
    <row r="46" spans="1:35" s="5" customFormat="1">
      <c r="A46" s="7"/>
    </row>
    <row r="47" spans="1:35" s="5" customFormat="1">
      <c r="A47" s="7"/>
    </row>
    <row r="48" spans="1:35" s="5" customFormat="1">
      <c r="A48" s="7"/>
    </row>
    <row r="49" spans="1:1" s="5" customFormat="1">
      <c r="A49" s="7"/>
    </row>
    <row r="50" spans="1:1" s="5" customFormat="1">
      <c r="A50" s="7"/>
    </row>
    <row r="51" spans="1:1" s="5" customFormat="1">
      <c r="A51" s="7"/>
    </row>
    <row r="52" spans="1:1" s="5" customFormat="1">
      <c r="A52" s="7"/>
    </row>
    <row r="53" spans="1:1" s="5" customFormat="1">
      <c r="A53" s="7"/>
    </row>
    <row r="54" spans="1:1" s="5" customFormat="1">
      <c r="A54" s="7"/>
    </row>
    <row r="55" spans="1:1" s="5" customFormat="1">
      <c r="A55" s="7"/>
    </row>
    <row r="56" spans="1:1" s="5" customFormat="1">
      <c r="A56" s="7"/>
    </row>
    <row r="57" spans="1:1" s="5" customFormat="1">
      <c r="A57" s="7"/>
    </row>
    <row r="58" spans="1:1" s="5" customFormat="1">
      <c r="A58" s="7"/>
    </row>
    <row r="59" spans="1:1" s="5" customFormat="1">
      <c r="A59" s="7"/>
    </row>
    <row r="60" spans="1:1" s="5" customFormat="1">
      <c r="A60" s="7"/>
    </row>
    <row r="61" spans="1:1" s="5" customFormat="1">
      <c r="A61" s="7"/>
    </row>
    <row r="62" spans="1:1" s="5" customFormat="1">
      <c r="A62" s="7"/>
    </row>
    <row r="63" spans="1:1" s="5" customFormat="1">
      <c r="A63" s="7"/>
    </row>
    <row r="64" spans="1:1" s="5" customFormat="1">
      <c r="A64" s="7"/>
    </row>
    <row r="65" spans="1:21" s="5" customFormat="1">
      <c r="A65" s="7"/>
    </row>
    <row r="66" spans="1:21" s="5" customFormat="1">
      <c r="A66" s="7"/>
    </row>
    <row r="67" spans="1:21" s="5" customFormat="1">
      <c r="A67" s="7"/>
    </row>
    <row r="68" spans="1:21" s="5" customFormat="1">
      <c r="A68" s="7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s="5" customFormat="1">
      <c r="A69" s="7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1" s="5" customFormat="1">
      <c r="A70" s="7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1" s="5" customFormat="1">
      <c r="A71" s="7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1:21" s="5" customFormat="1">
      <c r="A72" s="7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1:21" s="5" customFormat="1">
      <c r="A73" s="7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s="5" customFormat="1">
      <c r="A74" s="7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1" s="5" customFormat="1">
      <c r="A75" s="7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21" s="5" customFormat="1">
      <c r="A76" s="7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s="5" customFormat="1">
      <c r="A77" s="7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21" s="5" customFormat="1">
      <c r="A78" s="7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1:21" s="5" customFormat="1">
      <c r="A79" s="7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21" s="5" customFormat="1">
      <c r="A80" s="7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1:21" s="5" customFormat="1">
      <c r="A81" s="7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 s="5" customFormat="1">
      <c r="A82" s="7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1:21" s="5" customFormat="1">
      <c r="A83" s="7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1:21" s="5" customFormat="1">
      <c r="A84" s="7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1:21" s="5" customFormat="1">
      <c r="A85" s="7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s="5" customFormat="1">
      <c r="A86" s="7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 s="5" customFormat="1">
      <c r="A87" s="7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1:21" s="5" customFormat="1">
      <c r="A88" s="7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1:21" s="5" customFormat="1">
      <c r="A89" s="7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1:21" s="5" customFormat="1">
      <c r="A90" s="7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1:21" s="5" customFormat="1">
      <c r="A91" s="7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1:21" s="5" customFormat="1">
      <c r="A92" s="7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 s="5" customFormat="1">
      <c r="A93" s="7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1" s="5" customFormat="1">
      <c r="A94" s="7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1" s="5" customFormat="1">
      <c r="A95" s="7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1:21" s="5" customFormat="1">
      <c r="A96" s="7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1:21" s="5" customFormat="1">
      <c r="A97" s="7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1:21" s="5" customFormat="1">
      <c r="A98" s="7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1:21" s="5" customFormat="1">
      <c r="A99" s="7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1:21" s="5" customFormat="1">
      <c r="A100" s="7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1" s="5" customFormat="1">
      <c r="A101" s="7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1:21" s="5" customFormat="1">
      <c r="A102" s="7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 s="5" customFormat="1">
      <c r="A103" s="7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s="5" customFormat="1">
      <c r="A104" s="7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1:21" s="5" customFormat="1">
      <c r="A105" s="7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1:21" s="5" customFormat="1">
      <c r="A106" s="7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1:21" s="5" customFormat="1">
      <c r="A107" s="7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1:21" s="5" customFormat="1">
      <c r="A108" s="7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1:21" s="5" customFormat="1">
      <c r="A109" s="7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1" s="5" customFormat="1">
      <c r="A110" s="7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1:21" s="5" customFormat="1">
      <c r="A111" s="7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1:21" s="5" customFormat="1">
      <c r="A112" s="7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1:21" s="5" customFormat="1">
      <c r="A113" s="7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1:21" s="5" customFormat="1">
      <c r="A114" s="7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1:21" s="5" customFormat="1">
      <c r="A115" s="7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1:21" s="5" customFormat="1">
      <c r="A116" s="7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spans="1:21" s="5" customFormat="1">
      <c r="A117" s="7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spans="1:21" s="5" customFormat="1">
      <c r="A118" s="7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1:21" s="5" customFormat="1">
      <c r="A119" s="7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1:21" s="5" customFormat="1">
      <c r="A120" s="7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spans="1:21" s="5" customFormat="1">
      <c r="A121" s="7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1:21" s="5" customFormat="1">
      <c r="A122" s="7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1:21" s="5" customFormat="1">
      <c r="A123" s="7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spans="1:21" s="5" customFormat="1">
      <c r="A124" s="7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spans="1:21" s="5" customFormat="1">
      <c r="A125" s="7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spans="1:21" s="5" customFormat="1">
      <c r="A126" s="7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1:21" s="5" customFormat="1">
      <c r="A127" s="7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1:21" s="5" customFormat="1">
      <c r="A128" s="7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1:21" s="5" customFormat="1">
      <c r="A129" s="7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:21" s="5" customFormat="1">
      <c r="A130" s="7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:21" s="5" customFormat="1">
      <c r="A131" s="7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:21" s="5" customFormat="1">
      <c r="A132" s="7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:21" s="5" customFormat="1">
      <c r="A133" s="7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1:21" s="5" customFormat="1">
      <c r="A134" s="7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1:21" s="5" customFormat="1">
      <c r="A135" s="7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1:21" s="5" customFormat="1">
      <c r="A136" s="7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 s="5" customFormat="1">
      <c r="A137" s="7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1" s="5" customFormat="1">
      <c r="A138" s="7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spans="1:21" s="5" customFormat="1">
      <c r="A139" s="7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spans="1:21" s="5" customFormat="1">
      <c r="A140" s="7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spans="1:21" s="5" customFormat="1">
      <c r="A141" s="7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1:21" s="5" customFormat="1">
      <c r="A142" s="7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spans="1:21" s="5" customFormat="1">
      <c r="A143" s="7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1:21" s="5" customFormat="1">
      <c r="A144" s="7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1:21" s="5" customFormat="1">
      <c r="A145" s="7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:21" s="5" customFormat="1">
      <c r="A146" s="7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:21" s="5" customFormat="1">
      <c r="A147" s="7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:21" s="5" customFormat="1">
      <c r="A148" s="7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 s="5" customFormat="1">
      <c r="A149" s="7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:21" s="5" customFormat="1">
      <c r="A150" s="7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:21" s="5" customFormat="1">
      <c r="A151" s="7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s="5" customFormat="1">
      <c r="A152" s="7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:21" s="5" customFormat="1">
      <c r="A153" s="7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:21" s="5" customFormat="1">
      <c r="A154" s="7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:21" s="5" customFormat="1">
      <c r="A155" s="7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 s="5" customFormat="1">
      <c r="A156" s="7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 s="5" customFormat="1">
      <c r="A157" s="7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 s="5" customFormat="1">
      <c r="A158" s="7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 s="5" customFormat="1">
      <c r="A159" s="7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 s="5" customFormat="1">
      <c r="A160" s="7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 s="5" customFormat="1">
      <c r="A161" s="7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 s="5" customFormat="1">
      <c r="A162" s="7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1:21" s="5" customFormat="1">
      <c r="A163" s="7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1:21" s="5" customFormat="1">
      <c r="A164" s="7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1:21" s="5" customFormat="1">
      <c r="A165" s="7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</row>
    <row r="166" spans="1:21" s="5" customFormat="1">
      <c r="A166" s="7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</row>
    <row r="167" spans="1:21" s="5" customFormat="1">
      <c r="A167" s="7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</row>
    <row r="168" spans="1:21" s="5" customFormat="1">
      <c r="A168" s="7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</row>
    <row r="169" spans="1:21" s="5" customFormat="1">
      <c r="A169" s="7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</row>
    <row r="170" spans="1:21" s="5" customFormat="1">
      <c r="A170" s="7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</row>
    <row r="171" spans="1:21" s="5" customFormat="1">
      <c r="A171" s="7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</row>
    <row r="172" spans="1:21" s="5" customFormat="1">
      <c r="A172" s="7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</row>
    <row r="173" spans="1:21" s="5" customFormat="1">
      <c r="A173" s="7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</row>
    <row r="174" spans="1:21" s="5" customFormat="1">
      <c r="A174" s="7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</row>
    <row r="175" spans="1:21" s="5" customFormat="1">
      <c r="A175" s="7"/>
      <c r="T175" s="8"/>
      <c r="U175" s="8"/>
    </row>
    <row r="176" spans="1:21" s="5" customFormat="1">
      <c r="A176" s="7"/>
      <c r="T176" s="8"/>
      <c r="U176" s="8"/>
    </row>
    <row r="177" spans="1:21" s="5" customFormat="1">
      <c r="A177" s="7"/>
      <c r="T177" s="8"/>
      <c r="U177" s="8"/>
    </row>
    <row r="178" spans="1:21" s="5" customFormat="1">
      <c r="A178" s="7"/>
      <c r="T178" s="8"/>
      <c r="U178" s="8"/>
    </row>
    <row r="179" spans="1:21" s="5" customFormat="1">
      <c r="A179" s="7"/>
      <c r="T179" s="8"/>
      <c r="U179" s="8"/>
    </row>
    <row r="180" spans="1:21" s="5" customFormat="1">
      <c r="A180" s="7"/>
      <c r="T180" s="8"/>
      <c r="U180" s="8"/>
    </row>
    <row r="181" spans="1:21" s="5" customFormat="1">
      <c r="A181" s="7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</row>
    <row r="182" spans="1:21" s="5" customFormat="1">
      <c r="A182" s="7"/>
      <c r="T182" s="8"/>
      <c r="U182" s="8"/>
    </row>
    <row r="183" spans="1:21" s="5" customFormat="1">
      <c r="A183" s="7"/>
      <c r="T183" s="8"/>
      <c r="U183" s="8"/>
    </row>
    <row r="184" spans="1:21" s="5" customFormat="1">
      <c r="A184" s="7"/>
      <c r="T184" s="8"/>
      <c r="U184" s="8"/>
    </row>
    <row r="185" spans="1:21" s="5" customFormat="1">
      <c r="A185" s="7"/>
      <c r="T185" s="8"/>
      <c r="U185" s="8"/>
    </row>
    <row r="186" spans="1:21" s="5" customFormat="1">
      <c r="A186" s="7"/>
      <c r="T186" s="8"/>
      <c r="U186" s="8"/>
    </row>
    <row r="187" spans="1:21" s="5" customFormat="1">
      <c r="A187" s="7"/>
      <c r="T187" s="8"/>
      <c r="U187" s="8"/>
    </row>
    <row r="188" spans="1:21" s="5" customFormat="1">
      <c r="A188" s="7"/>
      <c r="T188" s="8"/>
      <c r="U188" s="8"/>
    </row>
    <row r="189" spans="1:21" s="5" customFormat="1">
      <c r="A189" s="7"/>
      <c r="T189" s="8"/>
      <c r="U189" s="8"/>
    </row>
    <row r="190" spans="1:21" s="5" customFormat="1">
      <c r="A190" s="7"/>
      <c r="T190" s="8"/>
      <c r="U190" s="8"/>
    </row>
    <row r="191" spans="1:21" s="5" customFormat="1">
      <c r="A191" s="7"/>
      <c r="T191" s="8"/>
      <c r="U191" s="8"/>
    </row>
    <row r="192" spans="1:21" s="5" customFormat="1">
      <c r="A192" s="7"/>
      <c r="T192" s="8"/>
      <c r="U192" s="8"/>
    </row>
    <row r="193" spans="1:21" s="5" customFormat="1">
      <c r="A193" s="7"/>
      <c r="T193" s="8"/>
      <c r="U193" s="8"/>
    </row>
    <row r="194" spans="1:21" s="5" customFormat="1">
      <c r="A194" s="7"/>
      <c r="T194" s="8"/>
      <c r="U194" s="8"/>
    </row>
    <row r="195" spans="1:21" s="5" customFormat="1">
      <c r="A195" s="7"/>
      <c r="T195" s="8"/>
      <c r="U195" s="8"/>
    </row>
    <row r="196" spans="1:21" s="5" customFormat="1">
      <c r="A196" s="7"/>
      <c r="T196" s="8"/>
      <c r="U196" s="8"/>
    </row>
    <row r="197" spans="1:21" s="5" customFormat="1">
      <c r="A197" s="7"/>
      <c r="T197" s="8"/>
      <c r="U197" s="8"/>
    </row>
    <row r="198" spans="1:21" s="5" customFormat="1">
      <c r="A198" s="7"/>
      <c r="T198" s="8"/>
      <c r="U198" s="8"/>
    </row>
    <row r="199" spans="1:21" s="5" customFormat="1">
      <c r="A199" s="7"/>
      <c r="T199" s="8"/>
      <c r="U199" s="8"/>
    </row>
    <row r="200" spans="1:21" s="5" customFormat="1">
      <c r="A200" s="7"/>
      <c r="T200" s="8"/>
      <c r="U200" s="8"/>
    </row>
    <row r="201" spans="1:21" s="5" customFormat="1">
      <c r="A201" s="7"/>
      <c r="T201" s="8"/>
      <c r="U201" s="8"/>
    </row>
    <row r="202" spans="1:21" s="5" customFormat="1">
      <c r="A202" s="7"/>
      <c r="T202" s="8"/>
      <c r="U202" s="8"/>
    </row>
    <row r="203" spans="1:21" s="5" customFormat="1">
      <c r="A203" s="7"/>
      <c r="T203" s="8"/>
      <c r="U203" s="8"/>
    </row>
    <row r="204" spans="1:21" s="5" customFormat="1">
      <c r="A204" s="7"/>
      <c r="T204" s="8"/>
      <c r="U204" s="8"/>
    </row>
    <row r="205" spans="1:21" s="5" customFormat="1">
      <c r="A205" s="7"/>
      <c r="T205" s="8"/>
      <c r="U205" s="8"/>
    </row>
    <row r="206" spans="1:21" s="5" customFormat="1">
      <c r="A206" s="7"/>
      <c r="T206" s="8"/>
      <c r="U206" s="8"/>
    </row>
    <row r="207" spans="1:21" s="5" customFormat="1">
      <c r="A207" s="7"/>
      <c r="T207" s="8"/>
      <c r="U207" s="8"/>
    </row>
    <row r="208" spans="1:21" s="5" customFormat="1">
      <c r="A208" s="7"/>
      <c r="T208" s="8"/>
      <c r="U208" s="8"/>
    </row>
    <row r="209" spans="1:21" s="5" customFormat="1">
      <c r="A209" s="7"/>
      <c r="T209" s="8"/>
      <c r="U209" s="8"/>
    </row>
    <row r="210" spans="1:21" s="5" customFormat="1">
      <c r="A210" s="7"/>
      <c r="T210" s="8"/>
      <c r="U210" s="8"/>
    </row>
    <row r="211" spans="1:21" s="5" customFormat="1">
      <c r="A211" s="7"/>
      <c r="T211" s="8"/>
      <c r="U211" s="8"/>
    </row>
    <row r="212" spans="1:21" s="5" customFormat="1">
      <c r="A212" s="7"/>
      <c r="T212" s="8"/>
      <c r="U212" s="8"/>
    </row>
    <row r="213" spans="1:21" s="5" customFormat="1">
      <c r="A213" s="7"/>
      <c r="T213" s="8"/>
      <c r="U213" s="8"/>
    </row>
    <row r="214" spans="1:21" s="5" customFormat="1">
      <c r="A214" s="7"/>
      <c r="T214" s="8"/>
      <c r="U214" s="8"/>
    </row>
    <row r="215" spans="1:21" s="5" customFormat="1">
      <c r="A215" s="7"/>
      <c r="T215" s="8"/>
      <c r="U215" s="8"/>
    </row>
    <row r="216" spans="1:21" s="5" customFormat="1">
      <c r="A216" s="7"/>
      <c r="T216" s="8"/>
      <c r="U216" s="8"/>
    </row>
    <row r="217" spans="1:21" s="5" customFormat="1">
      <c r="A217" s="7"/>
      <c r="T217" s="8"/>
      <c r="U217" s="8"/>
    </row>
    <row r="218" spans="1:21" s="5" customFormat="1">
      <c r="A218" s="7"/>
      <c r="T218" s="8"/>
      <c r="U218" s="8"/>
    </row>
    <row r="219" spans="1:21" s="5" customFormat="1">
      <c r="A219" s="7"/>
      <c r="T219" s="8"/>
      <c r="U219" s="8"/>
    </row>
    <row r="220" spans="1:21" s="5" customFormat="1">
      <c r="A220" s="7"/>
      <c r="T220" s="8"/>
      <c r="U220" s="8"/>
    </row>
    <row r="221" spans="1:21" s="5" customFormat="1">
      <c r="A221" s="7"/>
      <c r="T221" s="8"/>
      <c r="U221" s="8"/>
    </row>
    <row r="222" spans="1:21" s="5" customFormat="1">
      <c r="A222" s="7"/>
      <c r="T222" s="8"/>
      <c r="U222" s="8"/>
    </row>
    <row r="223" spans="1:21" s="5" customFormat="1">
      <c r="A223" s="7"/>
      <c r="T223" s="8"/>
      <c r="U223" s="8"/>
    </row>
    <row r="224" spans="1:21" s="5" customFormat="1">
      <c r="A224" s="7"/>
      <c r="T224" s="8"/>
      <c r="U224" s="8"/>
    </row>
    <row r="225" spans="1:21" s="5" customFormat="1">
      <c r="A225" s="7"/>
      <c r="T225" s="8"/>
      <c r="U225" s="8"/>
    </row>
    <row r="226" spans="1:21" s="5" customFormat="1">
      <c r="A226" s="7"/>
      <c r="T226" s="8"/>
      <c r="U226" s="8"/>
    </row>
    <row r="227" spans="1:21" s="5" customFormat="1">
      <c r="A227" s="7"/>
      <c r="T227" s="8"/>
      <c r="U227" s="8"/>
    </row>
    <row r="228" spans="1:21" s="5" customFormat="1">
      <c r="A228" s="7"/>
      <c r="T228" s="8"/>
      <c r="U228" s="8"/>
    </row>
    <row r="229" spans="1:21" s="5" customFormat="1">
      <c r="A229" s="7"/>
      <c r="T229" s="8"/>
      <c r="U229" s="8"/>
    </row>
    <row r="230" spans="1:21" s="5" customFormat="1">
      <c r="A230" s="7"/>
      <c r="T230" s="8"/>
      <c r="U230" s="8"/>
    </row>
    <row r="231" spans="1:21" s="5" customFormat="1">
      <c r="A231" s="7"/>
      <c r="T231" s="8"/>
      <c r="U231" s="8"/>
    </row>
    <row r="232" spans="1:21" s="5" customFormat="1">
      <c r="A232" s="7"/>
      <c r="T232" s="8"/>
      <c r="U232" s="8"/>
    </row>
    <row r="233" spans="1:21" s="5" customFormat="1">
      <c r="A233" s="7"/>
      <c r="T233" s="8"/>
      <c r="U233" s="8"/>
    </row>
    <row r="234" spans="1:21" s="5" customFormat="1">
      <c r="A234" s="7"/>
      <c r="T234" s="8"/>
      <c r="U234" s="8"/>
    </row>
    <row r="235" spans="1:21" s="5" customFormat="1">
      <c r="A235" s="7"/>
      <c r="T235" s="8"/>
      <c r="U235" s="8"/>
    </row>
    <row r="236" spans="1:21" s="5" customFormat="1">
      <c r="A236" s="7"/>
      <c r="T236" s="8"/>
      <c r="U236" s="8"/>
    </row>
    <row r="237" spans="1:21" s="5" customFormat="1">
      <c r="A237" s="7"/>
      <c r="T237" s="8"/>
      <c r="U237" s="8"/>
    </row>
    <row r="238" spans="1:21" s="5" customFormat="1">
      <c r="A238" s="7"/>
      <c r="T238" s="8"/>
      <c r="U238" s="8"/>
    </row>
    <row r="239" spans="1:21" s="5" customFormat="1">
      <c r="A239" s="7"/>
      <c r="T239" s="8"/>
      <c r="U239" s="8"/>
    </row>
    <row r="240" spans="1:21" s="5" customFormat="1">
      <c r="A240" s="7"/>
      <c r="T240" s="8"/>
      <c r="U240" s="8"/>
    </row>
    <row r="241" spans="1:21" s="5" customFormat="1">
      <c r="A241" s="7"/>
      <c r="T241" s="8"/>
      <c r="U241" s="8"/>
    </row>
    <row r="242" spans="1:21" s="5" customFormat="1">
      <c r="A242" s="7"/>
      <c r="T242" s="8"/>
      <c r="U242" s="8"/>
    </row>
    <row r="243" spans="1:21" s="5" customFormat="1">
      <c r="A243" s="7"/>
      <c r="T243" s="8"/>
      <c r="U243" s="8"/>
    </row>
    <row r="244" spans="1:21" s="5" customFormat="1">
      <c r="A244" s="7"/>
      <c r="T244" s="8"/>
      <c r="U244" s="8"/>
    </row>
    <row r="245" spans="1:21" s="5" customFormat="1">
      <c r="A245" s="7"/>
      <c r="T245" s="8"/>
      <c r="U245" s="8"/>
    </row>
    <row r="246" spans="1:21" s="5" customFormat="1">
      <c r="A246" s="7"/>
      <c r="T246" s="8"/>
      <c r="U246" s="8"/>
    </row>
    <row r="247" spans="1:21" s="5" customFormat="1">
      <c r="A247" s="7"/>
      <c r="T247" s="8"/>
      <c r="U247" s="8"/>
    </row>
    <row r="248" spans="1:21" s="5" customFormat="1">
      <c r="A248" s="7"/>
      <c r="T248" s="8"/>
      <c r="U248" s="8"/>
    </row>
    <row r="249" spans="1:21" s="5" customFormat="1">
      <c r="A249" s="7"/>
      <c r="T249" s="8"/>
      <c r="U249" s="8"/>
    </row>
    <row r="250" spans="1:21" s="5" customFormat="1">
      <c r="A250" s="7"/>
      <c r="T250" s="8"/>
      <c r="U250" s="8"/>
    </row>
    <row r="251" spans="1:21" s="5" customFormat="1">
      <c r="A251" s="7"/>
      <c r="T251" s="8"/>
      <c r="U251" s="8"/>
    </row>
    <row r="252" spans="1:21" s="5" customFormat="1">
      <c r="A252" s="7"/>
      <c r="T252" s="8"/>
      <c r="U252" s="8"/>
    </row>
    <row r="253" spans="1:21" s="5" customFormat="1">
      <c r="A253" s="7"/>
      <c r="T253" s="8"/>
      <c r="U253" s="8"/>
    </row>
    <row r="254" spans="1:21" s="5" customFormat="1">
      <c r="A254" s="7"/>
      <c r="T254" s="8"/>
      <c r="U254" s="8"/>
    </row>
    <row r="255" spans="1:21" s="5" customFormat="1">
      <c r="A255" s="7"/>
      <c r="T255" s="8"/>
      <c r="U255" s="8"/>
    </row>
    <row r="256" spans="1:21" s="5" customFormat="1">
      <c r="A256" s="7"/>
      <c r="T256" s="8"/>
      <c r="U256" s="8"/>
    </row>
    <row r="257" spans="1:21" s="5" customFormat="1">
      <c r="A257" s="7"/>
      <c r="T257" s="8"/>
      <c r="U257" s="8"/>
    </row>
    <row r="258" spans="1:21" s="5" customFormat="1">
      <c r="A258" s="7"/>
      <c r="T258" s="8"/>
      <c r="U258" s="8"/>
    </row>
    <row r="259" spans="1:21" s="5" customFormat="1">
      <c r="A259" s="7"/>
      <c r="T259" s="8"/>
      <c r="U259" s="8"/>
    </row>
    <row r="260" spans="1:21" s="5" customFormat="1">
      <c r="A260" s="7"/>
      <c r="T260" s="8"/>
      <c r="U260" s="8"/>
    </row>
    <row r="261" spans="1:21" s="5" customFormat="1">
      <c r="A261" s="7"/>
      <c r="T261" s="8"/>
      <c r="U261" s="8"/>
    </row>
    <row r="262" spans="1:21" s="5" customFormat="1">
      <c r="A262" s="7"/>
      <c r="T262" s="8"/>
      <c r="U262" s="8"/>
    </row>
    <row r="263" spans="1:21" s="5" customFormat="1">
      <c r="A263" s="7"/>
      <c r="T263" s="8"/>
      <c r="U263" s="8"/>
    </row>
    <row r="264" spans="1:21" s="5" customFormat="1">
      <c r="A264" s="7"/>
      <c r="T264" s="8"/>
      <c r="U264" s="8"/>
    </row>
    <row r="265" spans="1:21" s="5" customFormat="1">
      <c r="A265" s="7"/>
      <c r="T265" s="8"/>
      <c r="U265" s="8"/>
    </row>
    <row r="266" spans="1:21" s="5" customFormat="1">
      <c r="A266" s="7"/>
      <c r="T266" s="8"/>
      <c r="U266" s="8"/>
    </row>
    <row r="267" spans="1:21" s="5" customFormat="1">
      <c r="A267" s="7"/>
      <c r="T267" s="8"/>
      <c r="U267" s="8"/>
    </row>
    <row r="268" spans="1:21" s="5" customFormat="1">
      <c r="A268" s="7"/>
      <c r="T268" s="8"/>
      <c r="U268" s="8"/>
    </row>
    <row r="269" spans="1:21" s="5" customFormat="1">
      <c r="A269" s="7"/>
      <c r="T269" s="8"/>
      <c r="U269" s="8"/>
    </row>
    <row r="270" spans="1:21" s="5" customFormat="1">
      <c r="A270" s="7"/>
      <c r="T270" s="8"/>
      <c r="U270" s="8"/>
    </row>
    <row r="271" spans="1:21" s="5" customFormat="1">
      <c r="A271" s="7"/>
      <c r="T271" s="8"/>
      <c r="U271" s="8"/>
    </row>
    <row r="272" spans="1:21" s="5" customFormat="1">
      <c r="A272" s="7"/>
      <c r="T272" s="8"/>
      <c r="U272" s="8"/>
    </row>
    <row r="273" spans="1:21" s="5" customFormat="1">
      <c r="A273" s="7"/>
      <c r="T273" s="8"/>
      <c r="U273" s="8"/>
    </row>
    <row r="274" spans="1:21" s="5" customFormat="1">
      <c r="A274" s="7"/>
      <c r="T274" s="8"/>
      <c r="U274" s="8"/>
    </row>
    <row r="275" spans="1:21" s="5" customFormat="1">
      <c r="A275" s="7"/>
      <c r="T275" s="8"/>
      <c r="U275" s="8"/>
    </row>
    <row r="276" spans="1:21" s="5" customFormat="1">
      <c r="A276" s="7"/>
      <c r="T276" s="8"/>
      <c r="U276" s="8"/>
    </row>
    <row r="277" spans="1:21" s="5" customFormat="1">
      <c r="A277" s="7"/>
      <c r="T277" s="8"/>
      <c r="U277" s="8"/>
    </row>
    <row r="278" spans="1:21" s="5" customFormat="1">
      <c r="A278" s="7"/>
      <c r="T278" s="8"/>
      <c r="U278" s="8"/>
    </row>
    <row r="279" spans="1:21" s="5" customFormat="1">
      <c r="A279" s="7"/>
      <c r="T279" s="8"/>
      <c r="U279" s="8"/>
    </row>
    <row r="280" spans="1:21" s="5" customFormat="1">
      <c r="A280" s="7"/>
      <c r="T280" s="8"/>
      <c r="U280" s="8"/>
    </row>
    <row r="281" spans="1:21" s="5" customFormat="1">
      <c r="A281" s="7"/>
      <c r="T281" s="8"/>
      <c r="U281" s="8"/>
    </row>
    <row r="282" spans="1:21" s="5" customFormat="1">
      <c r="A282" s="7"/>
      <c r="T282" s="8"/>
      <c r="U282" s="8"/>
    </row>
    <row r="283" spans="1:21" s="5" customFormat="1">
      <c r="A283" s="7"/>
      <c r="T283" s="8"/>
      <c r="U283" s="8"/>
    </row>
    <row r="284" spans="1:21" s="5" customFormat="1">
      <c r="A284" s="7"/>
      <c r="T284" s="8"/>
      <c r="U284" s="8"/>
    </row>
    <row r="285" spans="1:21" s="5" customFormat="1">
      <c r="A285" s="7"/>
      <c r="T285" s="8"/>
      <c r="U285" s="8"/>
    </row>
    <row r="286" spans="1:21" s="5" customFormat="1">
      <c r="A286" s="7"/>
      <c r="T286" s="8"/>
      <c r="U286" s="8"/>
    </row>
    <row r="287" spans="1:21" s="5" customFormat="1">
      <c r="A287" s="7"/>
      <c r="T287" s="8"/>
      <c r="U287" s="8"/>
    </row>
    <row r="288" spans="1:21" s="5" customFormat="1">
      <c r="A288" s="7"/>
      <c r="T288" s="8"/>
      <c r="U288" s="8"/>
    </row>
    <row r="289" spans="1:21" s="5" customFormat="1">
      <c r="A289" s="7"/>
      <c r="T289" s="8"/>
      <c r="U289" s="8"/>
    </row>
    <row r="290" spans="1:21" s="5" customFormat="1">
      <c r="A290" s="7"/>
      <c r="T290" s="8"/>
      <c r="U290" s="8"/>
    </row>
    <row r="291" spans="1:21" s="5" customFormat="1">
      <c r="A291" s="7"/>
      <c r="T291" s="8"/>
      <c r="U291" s="8"/>
    </row>
    <row r="292" spans="1:21" s="5" customFormat="1">
      <c r="A292" s="7"/>
      <c r="T292" s="8"/>
      <c r="U292" s="8"/>
    </row>
    <row r="293" spans="1:21" s="5" customFormat="1">
      <c r="A293" s="7"/>
      <c r="T293" s="8"/>
      <c r="U293" s="8"/>
    </row>
    <row r="294" spans="1:21" s="5" customFormat="1">
      <c r="A294" s="7"/>
      <c r="T294" s="8"/>
      <c r="U294" s="8"/>
    </row>
    <row r="295" spans="1:21" s="5" customFormat="1">
      <c r="A295" s="7"/>
      <c r="T295" s="8"/>
      <c r="U295" s="8"/>
    </row>
    <row r="296" spans="1:21" s="5" customFormat="1">
      <c r="A296" s="7"/>
      <c r="T296" s="8"/>
      <c r="U296" s="8"/>
    </row>
    <row r="297" spans="1:21" s="5" customFormat="1">
      <c r="A297" s="7"/>
      <c r="T297" s="8"/>
      <c r="U297" s="8"/>
    </row>
    <row r="298" spans="1:21" s="5" customFormat="1">
      <c r="A298" s="7"/>
      <c r="T298" s="8"/>
      <c r="U298" s="8"/>
    </row>
    <row r="299" spans="1:21" s="5" customFormat="1">
      <c r="A299" s="7"/>
      <c r="T299" s="8"/>
      <c r="U299" s="8"/>
    </row>
    <row r="300" spans="1:21" s="5" customFormat="1">
      <c r="A300" s="7"/>
      <c r="T300" s="8"/>
      <c r="U300" s="8"/>
    </row>
    <row r="301" spans="1:21" s="5" customFormat="1">
      <c r="A301" s="7"/>
      <c r="T301" s="8"/>
      <c r="U301" s="8"/>
    </row>
    <row r="302" spans="1:21" s="5" customFormat="1">
      <c r="A302" s="7"/>
      <c r="T302" s="8"/>
      <c r="U302" s="8"/>
    </row>
    <row r="303" spans="1:21" s="5" customFormat="1">
      <c r="A303" s="7"/>
      <c r="T303" s="8"/>
      <c r="U303" s="8"/>
    </row>
    <row r="304" spans="1:21" s="5" customFormat="1">
      <c r="A304" s="7"/>
      <c r="T304" s="8"/>
      <c r="U304" s="8"/>
    </row>
    <row r="305" spans="1:21" s="5" customFormat="1">
      <c r="A305" s="7"/>
      <c r="T305" s="8"/>
      <c r="U305" s="8"/>
    </row>
    <row r="306" spans="1:21" s="5" customFormat="1">
      <c r="A306" s="7"/>
      <c r="T306" s="8"/>
      <c r="U306" s="8"/>
    </row>
    <row r="307" spans="1:21" s="5" customFormat="1">
      <c r="A307" s="7"/>
      <c r="T307" s="8"/>
      <c r="U307" s="8"/>
    </row>
    <row r="308" spans="1:21" s="5" customFormat="1">
      <c r="A308" s="7"/>
      <c r="T308" s="8"/>
      <c r="U308" s="8"/>
    </row>
    <row r="309" spans="1:21" s="5" customFormat="1">
      <c r="A309" s="7"/>
      <c r="T309" s="8"/>
      <c r="U309" s="8"/>
    </row>
    <row r="310" spans="1:21" s="5" customFormat="1">
      <c r="A310" s="7"/>
      <c r="T310" s="8"/>
      <c r="U310" s="8"/>
    </row>
    <row r="311" spans="1:21" s="5" customFormat="1">
      <c r="A311" s="7"/>
      <c r="T311" s="8"/>
      <c r="U311" s="8"/>
    </row>
    <row r="312" spans="1:21" s="5" customFormat="1">
      <c r="A312" s="7"/>
      <c r="T312" s="8"/>
      <c r="U312" s="8"/>
    </row>
    <row r="313" spans="1:21" s="5" customFormat="1">
      <c r="A313" s="7"/>
      <c r="T313" s="8"/>
      <c r="U313" s="8"/>
    </row>
    <row r="314" spans="1:21" s="5" customFormat="1">
      <c r="A314" s="7"/>
      <c r="T314" s="8"/>
      <c r="U314" s="8"/>
    </row>
    <row r="315" spans="1:21" s="5" customFormat="1">
      <c r="A315" s="7"/>
      <c r="T315" s="8"/>
      <c r="U315" s="8"/>
    </row>
    <row r="316" spans="1:21" s="5" customFormat="1">
      <c r="A316" s="7"/>
      <c r="T316" s="8"/>
      <c r="U316" s="8"/>
    </row>
    <row r="317" spans="1:21" s="5" customFormat="1">
      <c r="A317" s="7"/>
      <c r="T317" s="8"/>
      <c r="U317" s="8"/>
    </row>
    <row r="318" spans="1:21" s="5" customFormat="1">
      <c r="A318" s="7"/>
      <c r="T318" s="8"/>
      <c r="U318" s="8"/>
    </row>
    <row r="319" spans="1:21" s="5" customFormat="1">
      <c r="A319" s="7"/>
      <c r="T319" s="8"/>
      <c r="U319" s="8"/>
    </row>
    <row r="320" spans="1:21" s="5" customFormat="1">
      <c r="A320" s="7"/>
      <c r="T320" s="8"/>
      <c r="U320" s="8"/>
    </row>
    <row r="321" spans="1:21" s="5" customFormat="1">
      <c r="A321" s="7"/>
      <c r="T321" s="8"/>
      <c r="U321" s="8"/>
    </row>
    <row r="322" spans="1:21" s="5" customFormat="1">
      <c r="A322" s="7"/>
      <c r="T322" s="8"/>
      <c r="U322" s="8"/>
    </row>
    <row r="323" spans="1:21" s="5" customFormat="1">
      <c r="A323" s="7"/>
      <c r="T323" s="8"/>
      <c r="U323" s="8"/>
    </row>
    <row r="324" spans="1:21" s="5" customFormat="1">
      <c r="A324" s="7"/>
      <c r="T324" s="8"/>
      <c r="U324" s="8"/>
    </row>
    <row r="325" spans="1:21" s="5" customFormat="1">
      <c r="A325" s="7"/>
      <c r="T325" s="8"/>
      <c r="U325" s="8"/>
    </row>
    <row r="326" spans="1:21" s="5" customFormat="1">
      <c r="A326" s="7"/>
      <c r="T326" s="8"/>
      <c r="U326" s="8"/>
    </row>
    <row r="327" spans="1:21" s="5" customFormat="1">
      <c r="A327" s="7"/>
      <c r="T327" s="8"/>
      <c r="U327" s="8"/>
    </row>
    <row r="328" spans="1:21" s="5" customFormat="1">
      <c r="A328" s="7"/>
      <c r="T328" s="8"/>
      <c r="U328" s="8"/>
    </row>
    <row r="329" spans="1:21" s="5" customFormat="1">
      <c r="A329" s="7"/>
      <c r="T329" s="8"/>
      <c r="U329" s="8"/>
    </row>
    <row r="330" spans="1:21" s="5" customFormat="1">
      <c r="A330" s="7"/>
      <c r="T330" s="8"/>
      <c r="U330" s="8"/>
    </row>
    <row r="331" spans="1:21" s="5" customFormat="1">
      <c r="A331" s="7"/>
      <c r="T331" s="8"/>
      <c r="U331" s="8"/>
    </row>
    <row r="332" spans="1:21" s="5" customFormat="1">
      <c r="A332" s="7"/>
      <c r="T332" s="8"/>
      <c r="U332" s="8"/>
    </row>
    <row r="333" spans="1:21" s="5" customFormat="1">
      <c r="A333" s="7"/>
      <c r="T333" s="8"/>
      <c r="U333" s="8"/>
    </row>
    <row r="334" spans="1:21" s="5" customFormat="1">
      <c r="A334" s="7"/>
      <c r="T334" s="8"/>
      <c r="U334" s="8"/>
    </row>
    <row r="335" spans="1:21" s="5" customFormat="1">
      <c r="A335" s="7"/>
      <c r="T335" s="8"/>
      <c r="U335" s="8"/>
    </row>
    <row r="336" spans="1:21" s="5" customFormat="1">
      <c r="A336" s="7"/>
      <c r="T336" s="8"/>
      <c r="U336" s="8"/>
    </row>
    <row r="337" spans="1:21" s="5" customFormat="1">
      <c r="A337" s="7"/>
      <c r="T337" s="8"/>
      <c r="U337" s="8"/>
    </row>
    <row r="338" spans="1:21" s="5" customFormat="1">
      <c r="A338" s="7"/>
      <c r="T338" s="8"/>
      <c r="U338" s="8"/>
    </row>
    <row r="339" spans="1:21" s="5" customFormat="1">
      <c r="A339" s="7"/>
      <c r="T339" s="8"/>
      <c r="U339" s="8"/>
    </row>
    <row r="340" spans="1:21" s="5" customFormat="1">
      <c r="A340" s="7"/>
      <c r="T340" s="8"/>
      <c r="U340" s="8"/>
    </row>
    <row r="341" spans="1:21" s="5" customFormat="1">
      <c r="A341" s="7"/>
      <c r="T341" s="8"/>
      <c r="U341" s="8"/>
    </row>
    <row r="342" spans="1:21" s="5" customFormat="1">
      <c r="A342" s="7"/>
      <c r="T342" s="8"/>
      <c r="U342" s="8"/>
    </row>
    <row r="343" spans="1:21" s="5" customFormat="1">
      <c r="A343" s="7"/>
      <c r="T343" s="8"/>
      <c r="U343" s="8"/>
    </row>
    <row r="344" spans="1:21" s="5" customFormat="1">
      <c r="A344" s="7"/>
      <c r="T344" s="8"/>
      <c r="U344" s="8"/>
    </row>
    <row r="345" spans="1:21" s="5" customFormat="1">
      <c r="A345" s="7"/>
      <c r="T345" s="8"/>
      <c r="U345" s="8"/>
    </row>
    <row r="346" spans="1:21" s="5" customFormat="1">
      <c r="A346" s="7"/>
      <c r="T346" s="8"/>
      <c r="U346" s="8"/>
    </row>
    <row r="347" spans="1:21" s="5" customFormat="1">
      <c r="A347" s="7"/>
      <c r="T347" s="8"/>
      <c r="U347" s="8"/>
    </row>
    <row r="348" spans="1:21" s="5" customFormat="1">
      <c r="A348" s="7"/>
      <c r="T348" s="8"/>
      <c r="U348" s="8"/>
    </row>
    <row r="349" spans="1:21" s="5" customFormat="1">
      <c r="A349" s="7"/>
      <c r="T349" s="8"/>
      <c r="U349" s="8"/>
    </row>
    <row r="350" spans="1:21" s="5" customFormat="1">
      <c r="A350" s="7"/>
      <c r="T350" s="8"/>
      <c r="U350" s="8"/>
    </row>
    <row r="351" spans="1:21" s="5" customFormat="1">
      <c r="A351" s="7"/>
      <c r="T351" s="8"/>
      <c r="U351" s="8"/>
    </row>
    <row r="352" spans="1:21" s="5" customFormat="1">
      <c r="A352" s="7"/>
      <c r="T352" s="8"/>
      <c r="U352" s="8"/>
    </row>
    <row r="353" spans="1:21" s="5" customFormat="1">
      <c r="A353" s="7"/>
      <c r="T353" s="8"/>
      <c r="U353" s="8"/>
    </row>
    <row r="354" spans="1:21" s="5" customFormat="1">
      <c r="A354" s="7"/>
      <c r="T354" s="8"/>
      <c r="U354" s="8"/>
    </row>
    <row r="355" spans="1:21" s="5" customFormat="1">
      <c r="A355" s="7"/>
      <c r="T355" s="8"/>
      <c r="U355" s="8"/>
    </row>
    <row r="356" spans="1:21" s="5" customFormat="1">
      <c r="A356" s="7"/>
      <c r="T356" s="8"/>
      <c r="U356" s="8"/>
    </row>
    <row r="357" spans="1:21" s="5" customFormat="1">
      <c r="A357" s="7"/>
      <c r="T357" s="8"/>
      <c r="U357" s="8"/>
    </row>
    <row r="358" spans="1:21" s="5" customFormat="1">
      <c r="A358" s="7"/>
      <c r="T358" s="8"/>
      <c r="U358" s="8"/>
    </row>
    <row r="359" spans="1:21" s="5" customFormat="1">
      <c r="A359" s="7"/>
      <c r="T359" s="8"/>
      <c r="U359" s="8"/>
    </row>
    <row r="360" spans="1:21" s="5" customFormat="1">
      <c r="A360" s="7"/>
      <c r="T360" s="8"/>
      <c r="U360" s="8"/>
    </row>
    <row r="361" spans="1:21" s="5" customFormat="1">
      <c r="A361" s="7"/>
      <c r="T361" s="8"/>
      <c r="U361" s="8"/>
    </row>
    <row r="362" spans="1:21" s="5" customFormat="1">
      <c r="A362" s="7"/>
      <c r="T362" s="8"/>
      <c r="U362" s="8"/>
    </row>
    <row r="363" spans="1:21" s="5" customFormat="1">
      <c r="A363" s="7"/>
      <c r="T363" s="8"/>
      <c r="U363" s="8"/>
    </row>
    <row r="364" spans="1:21" s="5" customFormat="1">
      <c r="A364" s="7"/>
      <c r="T364" s="8"/>
      <c r="U364" s="8"/>
    </row>
    <row r="365" spans="1:21" s="5" customFormat="1">
      <c r="A365" s="7"/>
      <c r="T365" s="8"/>
      <c r="U365" s="8"/>
    </row>
    <row r="366" spans="1:21" s="5" customFormat="1">
      <c r="A366" s="7"/>
      <c r="T366" s="8"/>
      <c r="U366" s="8"/>
    </row>
    <row r="367" spans="1:21" s="5" customFormat="1">
      <c r="A367" s="7"/>
      <c r="T367" s="8"/>
      <c r="U367" s="8"/>
    </row>
    <row r="368" spans="1:21" s="5" customFormat="1">
      <c r="A368" s="7"/>
      <c r="T368" s="8"/>
      <c r="U368" s="8"/>
    </row>
    <row r="369" spans="1:21" s="5" customFormat="1">
      <c r="A369" s="7"/>
      <c r="T369" s="8"/>
      <c r="U369" s="8"/>
    </row>
    <row r="370" spans="1:21" s="5" customFormat="1">
      <c r="A370" s="7"/>
      <c r="T370" s="8"/>
      <c r="U370" s="8"/>
    </row>
    <row r="371" spans="1:21" s="5" customFormat="1">
      <c r="A371" s="7"/>
      <c r="T371" s="8"/>
      <c r="U371" s="8"/>
    </row>
    <row r="372" spans="1:21" s="5" customFormat="1">
      <c r="A372" s="7"/>
      <c r="T372" s="8"/>
      <c r="U372" s="8"/>
    </row>
    <row r="373" spans="1:21" s="5" customFormat="1">
      <c r="A373" s="7"/>
      <c r="T373" s="8"/>
      <c r="U373" s="8"/>
    </row>
    <row r="374" spans="1:21" s="5" customFormat="1">
      <c r="A374" s="7"/>
      <c r="T374" s="8"/>
      <c r="U374" s="8"/>
    </row>
    <row r="375" spans="1:21" s="5" customFormat="1">
      <c r="A375" s="7"/>
      <c r="T375" s="8"/>
      <c r="U375" s="8"/>
    </row>
    <row r="376" spans="1:21" s="5" customFormat="1">
      <c r="A376" s="7"/>
      <c r="T376" s="8"/>
      <c r="U376" s="8"/>
    </row>
    <row r="377" spans="1:21" s="5" customFormat="1">
      <c r="A377" s="7"/>
      <c r="T377" s="8"/>
      <c r="U377" s="8"/>
    </row>
    <row r="378" spans="1:21" s="5" customFormat="1">
      <c r="A378" s="7"/>
      <c r="T378" s="8"/>
      <c r="U378" s="8"/>
    </row>
    <row r="379" spans="1:21" s="5" customFormat="1">
      <c r="A379" s="7"/>
      <c r="T379" s="8"/>
      <c r="U379" s="8"/>
    </row>
    <row r="380" spans="1:21" s="5" customFormat="1">
      <c r="A380" s="7"/>
      <c r="T380" s="8"/>
      <c r="U380" s="8"/>
    </row>
    <row r="381" spans="1:21" s="5" customFormat="1">
      <c r="A381" s="7"/>
      <c r="T381" s="8"/>
      <c r="U381" s="8"/>
    </row>
    <row r="382" spans="1:21" s="5" customFormat="1">
      <c r="A382" s="7"/>
      <c r="T382" s="8"/>
      <c r="U382" s="8"/>
    </row>
    <row r="383" spans="1:21" s="5" customFormat="1">
      <c r="A383" s="7"/>
      <c r="T383" s="8"/>
      <c r="U383" s="8"/>
    </row>
    <row r="384" spans="1:21" s="5" customFormat="1">
      <c r="A384" s="7"/>
      <c r="T384" s="8"/>
      <c r="U384" s="8"/>
    </row>
    <row r="385" spans="1:21" s="5" customFormat="1">
      <c r="A385" s="7"/>
      <c r="T385" s="8"/>
      <c r="U385" s="8"/>
    </row>
    <row r="386" spans="1:21" s="5" customFormat="1">
      <c r="A386" s="7"/>
      <c r="T386" s="8"/>
      <c r="U386" s="8"/>
    </row>
    <row r="387" spans="1:21" s="5" customFormat="1">
      <c r="A387" s="7"/>
      <c r="T387" s="8"/>
      <c r="U387" s="8"/>
    </row>
    <row r="388" spans="1:21" s="5" customFormat="1">
      <c r="A388" s="7"/>
      <c r="T388" s="8"/>
      <c r="U388" s="8"/>
    </row>
    <row r="389" spans="1:21" s="5" customFormat="1">
      <c r="A389" s="7"/>
      <c r="T389" s="8"/>
      <c r="U389" s="8"/>
    </row>
    <row r="390" spans="1:21" s="5" customFormat="1">
      <c r="A390" s="7"/>
      <c r="T390" s="8"/>
      <c r="U390" s="8"/>
    </row>
    <row r="391" spans="1:21" s="5" customFormat="1">
      <c r="A391" s="7"/>
      <c r="T391" s="8"/>
      <c r="U391" s="8"/>
    </row>
    <row r="392" spans="1:21" s="5" customFormat="1">
      <c r="A392" s="7"/>
      <c r="T392" s="8"/>
      <c r="U392" s="8"/>
    </row>
    <row r="393" spans="1:21" s="5" customFormat="1">
      <c r="A393" s="7"/>
      <c r="T393" s="8"/>
      <c r="U393" s="8"/>
    </row>
    <row r="394" spans="1:21" s="5" customFormat="1">
      <c r="A394" s="7"/>
      <c r="T394" s="8"/>
      <c r="U394" s="8"/>
    </row>
    <row r="395" spans="1:21" s="5" customFormat="1">
      <c r="A395" s="7"/>
      <c r="T395" s="8"/>
      <c r="U395" s="8"/>
    </row>
    <row r="396" spans="1:21" s="5" customFormat="1">
      <c r="A396" s="7"/>
      <c r="T396" s="8"/>
      <c r="U396" s="8"/>
    </row>
    <row r="397" spans="1:21" s="5" customFormat="1">
      <c r="A397" s="7"/>
      <c r="T397" s="8"/>
      <c r="U397" s="8"/>
    </row>
    <row r="398" spans="1:21" s="5" customFormat="1">
      <c r="A398" s="7"/>
      <c r="T398" s="8"/>
      <c r="U398" s="8"/>
    </row>
    <row r="399" spans="1:21" s="5" customFormat="1">
      <c r="A399" s="7"/>
      <c r="T399" s="8"/>
      <c r="U399" s="8"/>
    </row>
    <row r="400" spans="1:21" s="5" customFormat="1">
      <c r="A400" s="7"/>
      <c r="T400" s="8"/>
      <c r="U400" s="8"/>
    </row>
    <row r="401" spans="1:21" s="5" customFormat="1">
      <c r="A401" s="7"/>
      <c r="T401" s="8"/>
      <c r="U401" s="8"/>
    </row>
    <row r="402" spans="1:21" s="5" customFormat="1">
      <c r="A402" s="7"/>
      <c r="T402" s="8"/>
      <c r="U402" s="8"/>
    </row>
    <row r="403" spans="1:21" s="5" customFormat="1">
      <c r="A403" s="7"/>
      <c r="T403" s="8"/>
      <c r="U403" s="8"/>
    </row>
    <row r="404" spans="1:21" s="5" customFormat="1">
      <c r="A404" s="7"/>
      <c r="T404" s="8"/>
      <c r="U404" s="8"/>
    </row>
    <row r="405" spans="1:21" s="5" customFormat="1">
      <c r="A405" s="7"/>
      <c r="T405" s="8"/>
      <c r="U405" s="8"/>
    </row>
    <row r="406" spans="1:21" s="5" customFormat="1">
      <c r="A406" s="7"/>
      <c r="T406" s="8"/>
      <c r="U406" s="8"/>
    </row>
    <row r="407" spans="1:21" s="5" customFormat="1">
      <c r="A407" s="7"/>
      <c r="T407" s="8"/>
      <c r="U407" s="8"/>
    </row>
    <row r="408" spans="1:21" s="5" customFormat="1">
      <c r="A408" s="7"/>
      <c r="T408" s="8"/>
      <c r="U408" s="8"/>
    </row>
    <row r="409" spans="1:21" s="5" customFormat="1">
      <c r="A409" s="7"/>
      <c r="T409" s="8"/>
      <c r="U409" s="8"/>
    </row>
    <row r="410" spans="1:21" s="5" customFormat="1">
      <c r="A410" s="7"/>
      <c r="T410" s="8"/>
      <c r="U410" s="8"/>
    </row>
    <row r="411" spans="1:21" s="5" customFormat="1">
      <c r="A411" s="7"/>
      <c r="T411" s="8"/>
      <c r="U411" s="8"/>
    </row>
    <row r="412" spans="1:21" s="5" customFormat="1">
      <c r="A412" s="7"/>
      <c r="T412" s="8"/>
      <c r="U412" s="8"/>
    </row>
    <row r="413" spans="1:21" s="5" customFormat="1">
      <c r="A413" s="7"/>
      <c r="T413" s="8"/>
      <c r="U413" s="8"/>
    </row>
    <row r="414" spans="1:21" s="5" customFormat="1">
      <c r="A414" s="7"/>
      <c r="T414" s="8"/>
      <c r="U414" s="8"/>
    </row>
    <row r="415" spans="1:21" s="5" customFormat="1">
      <c r="A415" s="7"/>
      <c r="T415" s="8"/>
      <c r="U415" s="8"/>
    </row>
    <row r="416" spans="1:21" s="5" customFormat="1">
      <c r="A416" s="7"/>
      <c r="T416" s="8"/>
      <c r="U416" s="8"/>
    </row>
    <row r="417" spans="1:21" s="5" customFormat="1">
      <c r="A417" s="7"/>
      <c r="T417" s="8"/>
      <c r="U417" s="8"/>
    </row>
    <row r="418" spans="1:21" s="5" customFormat="1">
      <c r="A418" s="7"/>
      <c r="T418" s="8"/>
      <c r="U418" s="8"/>
    </row>
    <row r="419" spans="1:21" s="5" customFormat="1">
      <c r="A419" s="7"/>
      <c r="T419" s="8"/>
      <c r="U419" s="8"/>
    </row>
    <row r="420" spans="1:21" s="5" customFormat="1">
      <c r="A420" s="7"/>
      <c r="T420" s="8"/>
      <c r="U420" s="8"/>
    </row>
    <row r="421" spans="1:21" s="5" customFormat="1">
      <c r="A421" s="7"/>
      <c r="T421" s="8"/>
      <c r="U421" s="8"/>
    </row>
    <row r="422" spans="1:21" s="5" customFormat="1">
      <c r="A422" s="7"/>
      <c r="T422" s="8"/>
      <c r="U422" s="8"/>
    </row>
    <row r="423" spans="1:21" s="5" customFormat="1">
      <c r="A423" s="7"/>
      <c r="T423" s="8"/>
      <c r="U423" s="8"/>
    </row>
    <row r="424" spans="1:21" s="5" customFormat="1">
      <c r="A424" s="7"/>
      <c r="T424" s="8"/>
      <c r="U424" s="8"/>
    </row>
    <row r="425" spans="1:21" s="5" customFormat="1">
      <c r="A425" s="7"/>
      <c r="T425" s="8"/>
      <c r="U425" s="8"/>
    </row>
    <row r="426" spans="1:21" s="5" customFormat="1">
      <c r="A426" s="7"/>
      <c r="T426" s="8"/>
      <c r="U426" s="8"/>
    </row>
    <row r="427" spans="1:21" s="5" customFormat="1">
      <c r="A427" s="7"/>
      <c r="T427" s="8"/>
      <c r="U427" s="8"/>
    </row>
    <row r="428" spans="1:21" s="5" customFormat="1">
      <c r="A428" s="7"/>
      <c r="T428" s="8"/>
      <c r="U428" s="8"/>
    </row>
    <row r="429" spans="1:21" s="5" customFormat="1">
      <c r="A429" s="7"/>
      <c r="T429" s="8"/>
      <c r="U429" s="8"/>
    </row>
    <row r="430" spans="1:21" s="5" customFormat="1">
      <c r="A430" s="7"/>
      <c r="T430" s="8"/>
      <c r="U430" s="8"/>
    </row>
    <row r="431" spans="1:21" s="5" customFormat="1">
      <c r="A431" s="7"/>
      <c r="T431" s="8"/>
      <c r="U431" s="8"/>
    </row>
    <row r="432" spans="1:21" s="5" customFormat="1">
      <c r="A432" s="7"/>
      <c r="T432" s="8"/>
      <c r="U432" s="8"/>
    </row>
    <row r="433" spans="1:21" s="5" customFormat="1">
      <c r="A433" s="7"/>
      <c r="T433" s="8"/>
      <c r="U433" s="8"/>
    </row>
    <row r="434" spans="1:21" s="5" customFormat="1">
      <c r="A434" s="7"/>
      <c r="T434" s="8"/>
      <c r="U434" s="8"/>
    </row>
    <row r="435" spans="1:21" s="5" customFormat="1">
      <c r="A435" s="7"/>
      <c r="T435" s="8"/>
      <c r="U435" s="8"/>
    </row>
    <row r="436" spans="1:21" s="5" customFormat="1">
      <c r="A436" s="7"/>
      <c r="T436" s="8"/>
      <c r="U436" s="8"/>
    </row>
    <row r="437" spans="1:21" s="5" customFormat="1">
      <c r="A437" s="7"/>
      <c r="T437" s="8"/>
      <c r="U437" s="8"/>
    </row>
    <row r="438" spans="1:21" s="5" customFormat="1">
      <c r="A438" s="7"/>
      <c r="T438" s="8"/>
      <c r="U438" s="8"/>
    </row>
    <row r="439" spans="1:21" s="5" customFormat="1">
      <c r="A439" s="7"/>
      <c r="T439" s="8"/>
      <c r="U439" s="8"/>
    </row>
    <row r="440" spans="1:21" s="5" customFormat="1">
      <c r="A440" s="7"/>
      <c r="T440" s="8"/>
      <c r="U440" s="8"/>
    </row>
    <row r="441" spans="1:21" s="5" customFormat="1">
      <c r="A441" s="7"/>
      <c r="T441" s="8"/>
      <c r="U441" s="8"/>
    </row>
    <row r="442" spans="1:21" s="5" customFormat="1">
      <c r="A442" s="7"/>
      <c r="T442" s="8"/>
      <c r="U442" s="8"/>
    </row>
    <row r="443" spans="1:21" s="5" customFormat="1">
      <c r="A443" s="7"/>
      <c r="T443" s="8"/>
      <c r="U443" s="8"/>
    </row>
    <row r="444" spans="1:21" s="5" customFormat="1">
      <c r="A444" s="7"/>
      <c r="T444" s="8"/>
      <c r="U444" s="8"/>
    </row>
    <row r="445" spans="1:21" s="5" customFormat="1">
      <c r="A445" s="7"/>
      <c r="T445" s="8"/>
      <c r="U445" s="8"/>
    </row>
    <row r="446" spans="1:21" s="5" customFormat="1">
      <c r="A446" s="7"/>
      <c r="T446" s="8"/>
      <c r="U446" s="8"/>
    </row>
    <row r="447" spans="1:21" s="5" customFormat="1">
      <c r="A447" s="7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</row>
    <row r="448" spans="1:21" s="5" customFormat="1">
      <c r="A448" s="7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</row>
    <row r="449" spans="1:21" s="5" customFormat="1">
      <c r="A449" s="7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</row>
    <row r="450" spans="1:21" s="5" customFormat="1">
      <c r="A450" s="7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</row>
    <row r="451" spans="1:21" s="5" customFormat="1">
      <c r="A451" s="7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</row>
    <row r="452" spans="1:21" s="5" customFormat="1">
      <c r="A452" s="7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</row>
    <row r="453" spans="1:21" s="5" customFormat="1">
      <c r="A453" s="7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</row>
    <row r="454" spans="1:21" s="5" customFormat="1">
      <c r="A454" s="7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</row>
    <row r="455" spans="1:21" s="5" customFormat="1">
      <c r="A455" s="7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</row>
    <row r="456" spans="1:21" s="5" customFormat="1">
      <c r="A456" s="7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</row>
    <row r="457" spans="1:21" s="5" customFormat="1">
      <c r="A457" s="7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</row>
    <row r="458" spans="1:21" s="5" customFormat="1">
      <c r="A458" s="7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</row>
    <row r="459" spans="1:21" s="5" customFormat="1">
      <c r="A459" s="7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</row>
    <row r="460" spans="1:21" s="5" customFormat="1">
      <c r="A460" s="7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</row>
    <row r="461" spans="1:21" s="5" customFormat="1">
      <c r="A461" s="7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</row>
    <row r="462" spans="1:21" s="5" customFormat="1">
      <c r="A462" s="7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</row>
    <row r="463" spans="1:21" s="5" customFormat="1">
      <c r="A463" s="7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</row>
    <row r="464" spans="1:21" s="5" customFormat="1">
      <c r="A464" s="7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</row>
    <row r="465" spans="1:21" s="5" customFormat="1">
      <c r="A465" s="7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</row>
    <row r="466" spans="1:21" s="5" customFormat="1">
      <c r="A466" s="7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</row>
    <row r="467" spans="1:21" s="5" customFormat="1">
      <c r="A467" s="7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</row>
    <row r="468" spans="1:21" s="5" customFormat="1">
      <c r="A468" s="7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</row>
    <row r="469" spans="1:21" s="5" customFormat="1">
      <c r="A469" s="7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</row>
    <row r="470" spans="1:21" s="5" customFormat="1">
      <c r="A470" s="7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</row>
    <row r="471" spans="1:21" s="5" customFormat="1">
      <c r="A471" s="7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</row>
    <row r="472" spans="1:21" s="5" customFormat="1">
      <c r="A472" s="7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</row>
    <row r="473" spans="1:21" s="5" customFormat="1">
      <c r="A473" s="7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</row>
    <row r="474" spans="1:21" s="5" customFormat="1">
      <c r="A474" s="7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</row>
    <row r="475" spans="1:21" s="5" customFormat="1">
      <c r="A475" s="7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</row>
    <row r="476" spans="1:21" s="5" customFormat="1">
      <c r="A476" s="7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</row>
    <row r="477" spans="1:21" s="5" customFormat="1">
      <c r="A477" s="7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</row>
    <row r="478" spans="1:21" s="5" customFormat="1">
      <c r="A478" s="7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</row>
    <row r="479" spans="1:21" s="5" customFormat="1">
      <c r="A479" s="7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</row>
    <row r="480" spans="1:21" s="5" customFormat="1">
      <c r="A480" s="7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</row>
    <row r="481" spans="1:21" s="5" customFormat="1">
      <c r="A481" s="7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</row>
    <row r="482" spans="1:21" s="5" customFormat="1">
      <c r="A482" s="7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</row>
    <row r="483" spans="1:21" s="5" customFormat="1">
      <c r="A483" s="7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</row>
    <row r="484" spans="1:21" s="5" customFormat="1">
      <c r="A484" s="7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</row>
    <row r="485" spans="1:21" s="5" customFormat="1">
      <c r="A485" s="7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</row>
    <row r="486" spans="1:21" s="5" customFormat="1">
      <c r="A486" s="7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</row>
    <row r="487" spans="1:21" s="5" customFormat="1">
      <c r="A487" s="7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</row>
    <row r="488" spans="1:21" s="5" customFormat="1">
      <c r="A488" s="7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</row>
    <row r="489" spans="1:21" s="5" customFormat="1">
      <c r="A489" s="7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</row>
    <row r="490" spans="1:21" s="5" customFormat="1">
      <c r="A490" s="7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</row>
    <row r="491" spans="1:21" s="5" customFormat="1">
      <c r="A491" s="7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</row>
    <row r="492" spans="1:21" s="5" customFormat="1">
      <c r="A492" s="7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</row>
    <row r="493" spans="1:21" s="5" customFormat="1">
      <c r="A493" s="7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</row>
    <row r="494" spans="1:21" s="5" customFormat="1">
      <c r="A494" s="7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</row>
    <row r="495" spans="1:21" s="5" customFormat="1">
      <c r="A495" s="7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</row>
    <row r="496" spans="1:21" s="5" customFormat="1">
      <c r="A496" s="7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</row>
    <row r="497" spans="1:21" s="5" customFormat="1">
      <c r="A497" s="7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</row>
    <row r="498" spans="1:21" s="5" customFormat="1">
      <c r="A498" s="7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</row>
    <row r="499" spans="1:21" s="5" customFormat="1">
      <c r="A499" s="7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</row>
    <row r="500" spans="1:21" s="5" customFormat="1">
      <c r="A500" s="7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</row>
    <row r="501" spans="1:21" s="5" customFormat="1">
      <c r="A501" s="7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</row>
    <row r="502" spans="1:21" s="5" customFormat="1">
      <c r="A502" s="7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</row>
    <row r="503" spans="1:21" s="5" customFormat="1">
      <c r="A503" s="7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</row>
    <row r="504" spans="1:21" s="5" customFormat="1">
      <c r="A504" s="7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</row>
    <row r="505" spans="1:21" s="5" customFormat="1">
      <c r="A505" s="7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</row>
    <row r="506" spans="1:21" s="5" customFormat="1">
      <c r="A506" s="7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</row>
    <row r="507" spans="1:21" s="5" customFormat="1">
      <c r="A507" s="7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</row>
    <row r="508" spans="1:21" s="5" customFormat="1">
      <c r="A508" s="7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</row>
    <row r="509" spans="1:21" s="5" customFormat="1">
      <c r="A509" s="7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</row>
    <row r="510" spans="1:21" s="5" customFormat="1">
      <c r="A510" s="7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</row>
    <row r="511" spans="1:21" s="5" customFormat="1">
      <c r="A511" s="7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</row>
    <row r="512" spans="1:21" s="5" customFormat="1">
      <c r="A512" s="7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</row>
    <row r="513" spans="1:21" s="5" customFormat="1">
      <c r="A513" s="7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</row>
    <row r="514" spans="1:21" s="5" customFormat="1">
      <c r="A514" s="7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</row>
    <row r="515" spans="1:21" s="5" customFormat="1">
      <c r="A515" s="7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</row>
    <row r="516" spans="1:21" s="5" customFormat="1">
      <c r="A516" s="7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</row>
    <row r="517" spans="1:21" s="5" customFormat="1">
      <c r="A517" s="7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</row>
    <row r="518" spans="1:21" s="5" customFormat="1">
      <c r="A518" s="7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</row>
    <row r="519" spans="1:21" s="5" customFormat="1">
      <c r="A519" s="7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</row>
    <row r="520" spans="1:21" s="5" customFormat="1">
      <c r="A520" s="7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</row>
    <row r="521" spans="1:21" s="5" customFormat="1">
      <c r="A521" s="7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</row>
    <row r="522" spans="1:21" s="5" customFormat="1">
      <c r="A522" s="7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</row>
    <row r="523" spans="1:21" s="5" customFormat="1">
      <c r="A523" s="7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</row>
    <row r="524" spans="1:21" s="5" customFormat="1">
      <c r="A524" s="7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</row>
    <row r="525" spans="1:21" s="5" customFormat="1">
      <c r="A525" s="7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</row>
    <row r="526" spans="1:21" s="5" customFormat="1">
      <c r="A526" s="7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</row>
    <row r="527" spans="1:21" s="5" customFormat="1">
      <c r="A527" s="7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</row>
    <row r="528" spans="1:21" s="5" customFormat="1">
      <c r="A528" s="7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</row>
    <row r="529" spans="1:21" s="5" customFormat="1">
      <c r="A529" s="7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</row>
    <row r="530" spans="1:21" s="5" customFormat="1">
      <c r="A530" s="7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</row>
    <row r="531" spans="1:21" s="5" customFormat="1">
      <c r="A531" s="7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</row>
    <row r="532" spans="1:21" s="5" customFormat="1">
      <c r="A532" s="7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</row>
    <row r="533" spans="1:21" s="5" customFormat="1">
      <c r="A533" s="7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</row>
    <row r="534" spans="1:21" s="5" customFormat="1">
      <c r="A534" s="7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</row>
    <row r="535" spans="1:21" s="5" customFormat="1">
      <c r="A535" s="7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</row>
    <row r="536" spans="1:21" s="5" customFormat="1">
      <c r="A536" s="7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</row>
    <row r="537" spans="1:21" s="5" customFormat="1">
      <c r="A537" s="7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</row>
    <row r="538" spans="1:21" s="5" customFormat="1">
      <c r="A538" s="7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</row>
    <row r="539" spans="1:21" s="5" customFormat="1">
      <c r="A539" s="7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</row>
    <row r="540" spans="1:21" s="5" customFormat="1">
      <c r="A540" s="7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</row>
    <row r="541" spans="1:21" s="5" customFormat="1">
      <c r="A541" s="7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</row>
    <row r="542" spans="1:21" s="5" customFormat="1">
      <c r="A542" s="7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</row>
    <row r="543" spans="1:21" s="5" customFormat="1">
      <c r="A543" s="7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</row>
    <row r="544" spans="1:21" s="5" customFormat="1">
      <c r="A544" s="7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</row>
    <row r="545" spans="1:21" s="5" customFormat="1">
      <c r="A545" s="7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</row>
    <row r="546" spans="1:21" s="5" customFormat="1">
      <c r="A546" s="7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</row>
    <row r="547" spans="1:21" s="5" customFormat="1">
      <c r="A547" s="7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</row>
    <row r="548" spans="1:21" s="5" customFormat="1">
      <c r="A548" s="7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</row>
    <row r="549" spans="1:21" s="5" customFormat="1">
      <c r="A549" s="7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</row>
    <row r="550" spans="1:21" s="5" customFormat="1">
      <c r="A550" s="7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</row>
    <row r="551" spans="1:21" s="5" customFormat="1">
      <c r="A551" s="7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</row>
    <row r="552" spans="1:21" s="5" customFormat="1">
      <c r="A552" s="7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</row>
    <row r="553" spans="1:21" s="5" customFormat="1">
      <c r="A553" s="7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</row>
    <row r="554" spans="1:21" s="5" customFormat="1">
      <c r="A554" s="7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</row>
    <row r="555" spans="1:21" s="5" customFormat="1">
      <c r="A555" s="7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</row>
    <row r="556" spans="1:21" s="5" customFormat="1">
      <c r="A556" s="7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</row>
    <row r="557" spans="1:21" s="5" customFormat="1">
      <c r="A557" s="7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</row>
    <row r="558" spans="1:21" s="5" customFormat="1">
      <c r="A558" s="7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</row>
    <row r="559" spans="1:21" s="5" customFormat="1">
      <c r="A559" s="7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</row>
    <row r="560" spans="1:21" s="5" customFormat="1">
      <c r="A560" s="7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</row>
    <row r="561" spans="1:21" s="5" customFormat="1">
      <c r="A561" s="7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</row>
    <row r="562" spans="1:21" s="5" customFormat="1">
      <c r="A562" s="7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</row>
    <row r="563" spans="1:21" s="5" customFormat="1">
      <c r="A563" s="7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</row>
    <row r="564" spans="1:21" s="5" customFormat="1">
      <c r="A564" s="7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</row>
    <row r="565" spans="1:21" s="5" customFormat="1">
      <c r="A565" s="7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</row>
    <row r="566" spans="1:21" s="5" customFormat="1">
      <c r="A566" s="7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</row>
    <row r="567" spans="1:21" s="5" customFormat="1">
      <c r="A567" s="7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</row>
    <row r="568" spans="1:21" s="5" customFormat="1">
      <c r="A568" s="7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</row>
    <row r="569" spans="1:21" s="5" customFormat="1">
      <c r="A569" s="7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</row>
    <row r="570" spans="1:21" s="5" customFormat="1">
      <c r="A570" s="7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</row>
    <row r="571" spans="1:21" s="5" customFormat="1">
      <c r="A571" s="7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</row>
    <row r="572" spans="1:21" s="5" customFormat="1">
      <c r="A572" s="7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</row>
    <row r="573" spans="1:21" s="5" customFormat="1">
      <c r="A573" s="7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</row>
    <row r="574" spans="1:21" s="5" customFormat="1">
      <c r="A574" s="7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</row>
  </sheetData>
  <mergeCells count="82">
    <mergeCell ref="H16:H17"/>
    <mergeCell ref="I16:I17"/>
    <mergeCell ref="I18:I19"/>
    <mergeCell ref="J27:K27"/>
    <mergeCell ref="J23:K23"/>
    <mergeCell ref="J24:K24"/>
    <mergeCell ref="J22:K22"/>
    <mergeCell ref="U9:Z9"/>
    <mergeCell ref="O17:R17"/>
    <mergeCell ref="Q16:R16"/>
    <mergeCell ref="L9:O9"/>
    <mergeCell ref="P9:T9"/>
    <mergeCell ref="U12:W12"/>
    <mergeCell ref="S13:W13"/>
    <mergeCell ref="X17:AE17"/>
    <mergeCell ref="AA12:AE12"/>
    <mergeCell ref="X13:AE13"/>
    <mergeCell ref="S17:W17"/>
    <mergeCell ref="S22:U22"/>
    <mergeCell ref="L27:Q27"/>
    <mergeCell ref="L13:N13"/>
    <mergeCell ref="T27:Y27"/>
    <mergeCell ref="U16:W16"/>
    <mergeCell ref="V22:Z22"/>
    <mergeCell ref="M22:N22"/>
    <mergeCell ref="B1:I1"/>
    <mergeCell ref="B2:I2"/>
    <mergeCell ref="D16:D17"/>
    <mergeCell ref="F16:F17"/>
    <mergeCell ref="F5:F7"/>
    <mergeCell ref="I5:I7"/>
    <mergeCell ref="H5:H14"/>
    <mergeCell ref="D11:D15"/>
    <mergeCell ref="G13:G14"/>
    <mergeCell ref="G16:G17"/>
    <mergeCell ref="J1:AE1"/>
    <mergeCell ref="J2:AE2"/>
    <mergeCell ref="Y8:Z8"/>
    <mergeCell ref="Y5:AE5"/>
    <mergeCell ref="W4:X4"/>
    <mergeCell ref="Y4:AE4"/>
    <mergeCell ref="AA8:AE8"/>
    <mergeCell ref="J3:AE3"/>
    <mergeCell ref="R5:X5"/>
    <mergeCell ref="S8:T8"/>
    <mergeCell ref="A5:A21"/>
    <mergeCell ref="B5:B7"/>
    <mergeCell ref="B8:B10"/>
    <mergeCell ref="B11:B12"/>
    <mergeCell ref="B13:B14"/>
    <mergeCell ref="B3:I3"/>
    <mergeCell ref="G5:G7"/>
    <mergeCell ref="G11:G12"/>
    <mergeCell ref="I8:I10"/>
    <mergeCell ref="I13:I14"/>
    <mergeCell ref="Q12:R12"/>
    <mergeCell ref="O13:R13"/>
    <mergeCell ref="F18:F19"/>
    <mergeCell ref="F8:F10"/>
    <mergeCell ref="G18:G19"/>
    <mergeCell ref="F13:F14"/>
    <mergeCell ref="G8:G10"/>
    <mergeCell ref="I11:I12"/>
    <mergeCell ref="L17:N17"/>
    <mergeCell ref="H18:H19"/>
    <mergeCell ref="L5:Q5"/>
    <mergeCell ref="D18:D19"/>
    <mergeCell ref="AF12:AM12"/>
    <mergeCell ref="AF13:AM13"/>
    <mergeCell ref="AF16:AM16"/>
    <mergeCell ref="AF17:AM17"/>
    <mergeCell ref="D5:D10"/>
    <mergeCell ref="F11:F12"/>
    <mergeCell ref="AA9:AE9"/>
    <mergeCell ref="Z16:AE16"/>
    <mergeCell ref="A24:A36"/>
    <mergeCell ref="J29:K29"/>
    <mergeCell ref="R27:S27"/>
    <mergeCell ref="P22:R22"/>
    <mergeCell ref="AA22:AE22"/>
    <mergeCell ref="AC27:AE27"/>
    <mergeCell ref="J28:K28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Φύλλο3">
    <pageSetUpPr autoPageBreaks="0"/>
  </sheetPr>
  <dimension ref="A1:AE118"/>
  <sheetViews>
    <sheetView workbookViewId="0">
      <selection activeCell="B1" sqref="B1:I1"/>
    </sheetView>
  </sheetViews>
  <sheetFormatPr defaultRowHeight="12.75"/>
  <cols>
    <col min="1" max="2" width="3.7109375" customWidth="1"/>
    <col min="3" max="3" width="34.7109375" customWidth="1"/>
    <col min="4" max="9" width="10.7109375" customWidth="1"/>
    <col min="10" max="10" width="15.7109375" style="2" customWidth="1"/>
    <col min="11" max="13" width="15.5703125" style="2" customWidth="1"/>
    <col min="14" max="14" width="15.7109375" style="2" customWidth="1"/>
    <col min="15" max="18" width="15.5703125" style="2" customWidth="1"/>
    <col min="19" max="19" width="15.85546875" style="2" customWidth="1"/>
    <col min="20" max="21" width="15.5703125" style="2" customWidth="1"/>
    <col min="22" max="27" width="15.5703125" customWidth="1"/>
    <col min="28" max="28" width="16.7109375" customWidth="1"/>
    <col min="29" max="31" width="15.5703125" customWidth="1"/>
  </cols>
  <sheetData>
    <row r="1" spans="1:31" ht="28.5" customHeight="1">
      <c r="A1" s="31"/>
      <c r="B1" s="250" t="s">
        <v>248</v>
      </c>
      <c r="C1" s="251"/>
      <c r="D1" s="251"/>
      <c r="E1" s="251"/>
      <c r="F1" s="251"/>
      <c r="G1" s="251"/>
      <c r="H1" s="251"/>
      <c r="I1" s="251"/>
      <c r="J1" s="240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24" customHeight="1">
      <c r="A2" s="22"/>
      <c r="B2" s="252" t="s">
        <v>203</v>
      </c>
      <c r="C2" s="252"/>
      <c r="D2" s="252"/>
      <c r="E2" s="252"/>
      <c r="F2" s="252"/>
      <c r="G2" s="252"/>
      <c r="H2" s="252"/>
      <c r="I2" s="252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4"/>
      <c r="W2" s="244"/>
      <c r="X2" s="244"/>
      <c r="Y2" s="244"/>
      <c r="Z2" s="244"/>
      <c r="AA2" s="244"/>
      <c r="AB2" s="244"/>
      <c r="AC2" s="244"/>
      <c r="AD2" s="244"/>
      <c r="AE2" s="244"/>
    </row>
    <row r="3" spans="1:31" ht="24" customHeight="1">
      <c r="A3" s="23"/>
      <c r="B3" s="253" t="s">
        <v>36</v>
      </c>
      <c r="C3" s="253"/>
      <c r="D3" s="253"/>
      <c r="E3" s="253"/>
      <c r="F3" s="253"/>
      <c r="G3" s="253"/>
      <c r="H3" s="253"/>
      <c r="I3" s="253"/>
      <c r="J3" s="245" t="s">
        <v>325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47"/>
    </row>
    <row r="4" spans="1:31" ht="12.75" customHeight="1">
      <c r="A4" s="24"/>
      <c r="B4" s="12"/>
      <c r="C4" s="12" t="s">
        <v>38</v>
      </c>
      <c r="D4" s="20" t="s">
        <v>167</v>
      </c>
      <c r="E4" s="12" t="s">
        <v>0</v>
      </c>
      <c r="F4" s="12" t="s">
        <v>1</v>
      </c>
      <c r="G4" s="12" t="s">
        <v>2</v>
      </c>
      <c r="H4" s="12" t="s">
        <v>10</v>
      </c>
      <c r="I4" s="12" t="s">
        <v>11</v>
      </c>
      <c r="J4" s="207" t="s">
        <v>24</v>
      </c>
      <c r="K4" s="190" t="s">
        <v>215</v>
      </c>
      <c r="L4" s="190" t="s">
        <v>237</v>
      </c>
      <c r="M4" s="190" t="s">
        <v>238</v>
      </c>
      <c r="N4" s="190" t="s">
        <v>239</v>
      </c>
      <c r="O4" s="190" t="s">
        <v>240</v>
      </c>
      <c r="P4" s="190" t="s">
        <v>241</v>
      </c>
      <c r="Q4" s="190" t="s">
        <v>242</v>
      </c>
      <c r="R4" s="190" t="s">
        <v>220</v>
      </c>
      <c r="S4" s="190" t="s">
        <v>221</v>
      </c>
      <c r="T4" s="190" t="s">
        <v>216</v>
      </c>
      <c r="U4" s="190" t="s">
        <v>217</v>
      </c>
      <c r="V4" s="190" t="s">
        <v>218</v>
      </c>
      <c r="W4" s="191" t="s">
        <v>219</v>
      </c>
      <c r="X4" s="191"/>
      <c r="Y4" s="191"/>
      <c r="Z4" s="191"/>
      <c r="AA4" s="191"/>
      <c r="AB4" s="191"/>
      <c r="AC4" s="192"/>
      <c r="AD4" s="193"/>
      <c r="AE4" s="193"/>
    </row>
    <row r="5" spans="1:31" ht="12.75" customHeight="1">
      <c r="A5" s="257" t="s">
        <v>144</v>
      </c>
      <c r="B5" s="235">
        <f>IF(A23=1,1,0)</f>
        <v>1</v>
      </c>
      <c r="C5" s="82" t="s">
        <v>245</v>
      </c>
      <c r="D5" s="233">
        <v>1</v>
      </c>
      <c r="E5" s="17">
        <f>IF(D5=1,K11,IF(D5=2,L11,IF(D5=3,M11,IF(D5=4,N11,IF(D5=5,O11,IF(D5=6,P11,IF(D5=7,Q11,IF(D5=8,R11,0))))))))*B5*A38/IF(A23=1,23,IF(A23=2,24,IF(A23=3,30,A38)))</f>
        <v>1092</v>
      </c>
      <c r="F5" s="235">
        <v>12</v>
      </c>
      <c r="G5" s="234">
        <f>ROUND((E5+E6+E7)*F5,2)</f>
        <v>13104</v>
      </c>
      <c r="H5" s="234">
        <v>16.079999999999998</v>
      </c>
      <c r="I5" s="234">
        <f>ROUND(G5*H5%,2)</f>
        <v>2107.12</v>
      </c>
      <c r="J5" s="227" t="s">
        <v>100</v>
      </c>
      <c r="K5" s="194">
        <v>1</v>
      </c>
      <c r="L5" s="194">
        <v>2</v>
      </c>
      <c r="M5" s="194">
        <v>3</v>
      </c>
      <c r="N5" s="194">
        <v>4</v>
      </c>
      <c r="O5" s="194">
        <v>5</v>
      </c>
      <c r="P5" s="194">
        <v>6</v>
      </c>
      <c r="Q5" s="194">
        <v>7</v>
      </c>
      <c r="R5" s="194">
        <v>8</v>
      </c>
      <c r="S5" s="194">
        <v>9</v>
      </c>
      <c r="T5" s="194">
        <v>10</v>
      </c>
      <c r="U5" s="194">
        <v>11</v>
      </c>
      <c r="V5" s="194">
        <v>12</v>
      </c>
      <c r="W5" s="192">
        <v>13</v>
      </c>
      <c r="X5" s="192"/>
      <c r="Y5" s="192"/>
      <c r="Z5" s="192"/>
      <c r="AA5" s="192"/>
      <c r="AB5" s="192"/>
      <c r="AC5" s="192"/>
      <c r="AD5" s="195"/>
      <c r="AE5" s="195"/>
    </row>
    <row r="6" spans="1:31" ht="12.75" customHeight="1">
      <c r="A6" s="258"/>
      <c r="B6" s="235"/>
      <c r="C6" s="82" t="s">
        <v>246</v>
      </c>
      <c r="D6" s="233"/>
      <c r="E6" s="17">
        <f>IF(D5=9,S11,IF(D5=10,T11,IF(D5=11,U11,IF(D5=12,V11,IF(D5=13,W11,IF(D5=14,X11,IF(D5=15,Y11,IF(D5=16,Z11,0))))))))*B5*A38/IF(A23=1,23,IF(A23=2,24,IF(A23=3,30,A38)))</f>
        <v>0</v>
      </c>
      <c r="F6" s="235"/>
      <c r="G6" s="234"/>
      <c r="H6" s="235"/>
      <c r="I6" s="234"/>
      <c r="J6" s="227" t="s">
        <v>101</v>
      </c>
      <c r="K6" s="196">
        <v>780</v>
      </c>
      <c r="L6" s="196">
        <f>ROUND(K6+$K$6*0.0551,0)</f>
        <v>823</v>
      </c>
      <c r="M6" s="196">
        <f t="shared" ref="M6:W6" si="0">ROUND(L6+$K$6*0.0551,0)</f>
        <v>866</v>
      </c>
      <c r="N6" s="196">
        <f t="shared" si="0"/>
        <v>909</v>
      </c>
      <c r="O6" s="196">
        <f t="shared" si="0"/>
        <v>952</v>
      </c>
      <c r="P6" s="196">
        <f t="shared" si="0"/>
        <v>995</v>
      </c>
      <c r="Q6" s="196">
        <f t="shared" si="0"/>
        <v>1038</v>
      </c>
      <c r="R6" s="196">
        <f t="shared" si="0"/>
        <v>1081</v>
      </c>
      <c r="S6" s="196">
        <f t="shared" si="0"/>
        <v>1124</v>
      </c>
      <c r="T6" s="196">
        <f t="shared" si="0"/>
        <v>1167</v>
      </c>
      <c r="U6" s="196">
        <f t="shared" si="0"/>
        <v>1210</v>
      </c>
      <c r="V6" s="196">
        <f t="shared" si="0"/>
        <v>1253</v>
      </c>
      <c r="W6" s="196">
        <f t="shared" si="0"/>
        <v>1296</v>
      </c>
      <c r="X6" s="196"/>
      <c r="Y6" s="196"/>
      <c r="Z6" s="196"/>
      <c r="AA6" s="196"/>
      <c r="AB6" s="196"/>
      <c r="AC6" s="196"/>
      <c r="AD6" s="197"/>
      <c r="AE6" s="197"/>
    </row>
    <row r="7" spans="1:31" ht="12.75" customHeight="1">
      <c r="A7" s="258"/>
      <c r="B7" s="235"/>
      <c r="C7" s="82" t="s">
        <v>244</v>
      </c>
      <c r="D7" s="233"/>
      <c r="E7" s="17">
        <f>IF(D5=17,AA11,IF(D5=18,AB11,IF(D5=19,AC11,0)))*B5*A38/IF(A23=1,23,IF(A23=2,24,IF(A23=3,30,A38)))</f>
        <v>0</v>
      </c>
      <c r="F7" s="235"/>
      <c r="G7" s="234"/>
      <c r="H7" s="235"/>
      <c r="I7" s="234"/>
      <c r="J7" s="227" t="s">
        <v>102</v>
      </c>
      <c r="K7" s="198">
        <f>ROUND(K6*1.1,0)</f>
        <v>858</v>
      </c>
      <c r="L7" s="196">
        <f>ROUND(K7+$K$7*0.0699,0)</f>
        <v>918</v>
      </c>
      <c r="M7" s="196">
        <f t="shared" ref="M7:W7" si="1">ROUND(L7+$K$7*0.0699,0)</f>
        <v>978</v>
      </c>
      <c r="N7" s="196">
        <f t="shared" si="1"/>
        <v>1038</v>
      </c>
      <c r="O7" s="196">
        <f t="shared" si="1"/>
        <v>1098</v>
      </c>
      <c r="P7" s="196">
        <f t="shared" si="1"/>
        <v>1158</v>
      </c>
      <c r="Q7" s="196">
        <f t="shared" si="1"/>
        <v>1218</v>
      </c>
      <c r="R7" s="196">
        <f t="shared" si="1"/>
        <v>1278</v>
      </c>
      <c r="S7" s="196">
        <f t="shared" si="1"/>
        <v>1338</v>
      </c>
      <c r="T7" s="196">
        <f t="shared" si="1"/>
        <v>1398</v>
      </c>
      <c r="U7" s="196">
        <f t="shared" si="1"/>
        <v>1458</v>
      </c>
      <c r="V7" s="196">
        <f t="shared" si="1"/>
        <v>1518</v>
      </c>
      <c r="W7" s="196">
        <f t="shared" si="1"/>
        <v>1578</v>
      </c>
      <c r="X7" s="196"/>
      <c r="Y7" s="196"/>
      <c r="Z7" s="196"/>
      <c r="AA7" s="196"/>
      <c r="AB7" s="196"/>
      <c r="AC7" s="196"/>
      <c r="AD7" s="199"/>
      <c r="AE7" s="199"/>
    </row>
    <row r="8" spans="1:31" ht="12.75" customHeight="1">
      <c r="A8" s="258"/>
      <c r="B8" s="235">
        <f>IF(A23=2,1,0)</f>
        <v>0</v>
      </c>
      <c r="C8" s="82" t="s">
        <v>245</v>
      </c>
      <c r="D8" s="233"/>
      <c r="E8" s="17">
        <f>IF(D5=1,K10,IF(D5=2,L10,IF(D5=3,M10,IF(D5=4,N10,IF(D5=5,O10,IF(D5=6,P10,IF(D5=7,Q10,IF(D5=8,R10,0))))))))*B8*A38/IF(A23=1,23,IF(A23=2,24,IF(A23=3,30,A38)))</f>
        <v>0</v>
      </c>
      <c r="F8" s="235">
        <v>12</v>
      </c>
      <c r="G8" s="234">
        <f>ROUND((E8+E9+E10)*F8,2)</f>
        <v>0</v>
      </c>
      <c r="H8" s="235"/>
      <c r="I8" s="234">
        <f>ROUND(G8*H5%,2)</f>
        <v>0</v>
      </c>
      <c r="J8" s="227" t="s">
        <v>24</v>
      </c>
      <c r="K8" s="190" t="s">
        <v>126</v>
      </c>
      <c r="L8" s="190" t="s">
        <v>127</v>
      </c>
      <c r="M8" s="190" t="s">
        <v>128</v>
      </c>
      <c r="N8" s="190" t="s">
        <v>130</v>
      </c>
      <c r="O8" s="190" t="s">
        <v>131</v>
      </c>
      <c r="P8" s="190" t="s">
        <v>133</v>
      </c>
      <c r="Q8" s="190" t="s">
        <v>134</v>
      </c>
      <c r="R8" s="190" t="s">
        <v>139</v>
      </c>
      <c r="S8" s="190" t="s">
        <v>141</v>
      </c>
      <c r="T8" s="190" t="s">
        <v>142</v>
      </c>
      <c r="U8" s="190" t="s">
        <v>138</v>
      </c>
      <c r="V8" s="190" t="s">
        <v>229</v>
      </c>
      <c r="W8" s="191" t="s">
        <v>230</v>
      </c>
      <c r="X8" s="191" t="s">
        <v>231</v>
      </c>
      <c r="Y8" s="191" t="s">
        <v>232</v>
      </c>
      <c r="Z8" s="191" t="s">
        <v>233</v>
      </c>
      <c r="AA8" s="191" t="s">
        <v>234</v>
      </c>
      <c r="AB8" s="191" t="s">
        <v>235</v>
      </c>
      <c r="AC8" s="191" t="s">
        <v>236</v>
      </c>
      <c r="AD8" s="200"/>
      <c r="AE8" s="200"/>
    </row>
    <row r="9" spans="1:31" ht="12.75" customHeight="1">
      <c r="A9" s="258"/>
      <c r="B9" s="235"/>
      <c r="C9" s="82" t="s">
        <v>246</v>
      </c>
      <c r="D9" s="249"/>
      <c r="E9" s="17">
        <f>IF(D5=9,S10,IF(D5=10,T10,IF(D5=11,U10,IF(D5=12,V10,IF(D5=13,W10,IF(D5=14,X10,IF(D5=15,Y10,IF(D5=16,Z10,0))))))))*B8*A38/IF(A23=1,23,IF(A23=2,24,IF(A23=3,30,A38)))</f>
        <v>0</v>
      </c>
      <c r="F9" s="235"/>
      <c r="G9" s="234"/>
      <c r="H9" s="235"/>
      <c r="I9" s="234"/>
      <c r="J9" s="227" t="s">
        <v>100</v>
      </c>
      <c r="K9" s="194">
        <v>1</v>
      </c>
      <c r="L9" s="194">
        <v>2</v>
      </c>
      <c r="M9" s="194">
        <v>3</v>
      </c>
      <c r="N9" s="194">
        <v>4</v>
      </c>
      <c r="O9" s="194">
        <v>5</v>
      </c>
      <c r="P9" s="194">
        <v>6</v>
      </c>
      <c r="Q9" s="194">
        <v>7</v>
      </c>
      <c r="R9" s="194">
        <v>8</v>
      </c>
      <c r="S9" s="194">
        <v>9</v>
      </c>
      <c r="T9" s="194">
        <v>10</v>
      </c>
      <c r="U9" s="194">
        <v>11</v>
      </c>
      <c r="V9" s="194">
        <v>12</v>
      </c>
      <c r="W9" s="192">
        <v>13</v>
      </c>
      <c r="X9" s="192">
        <v>14</v>
      </c>
      <c r="Y9" s="192">
        <v>15</v>
      </c>
      <c r="Z9" s="192">
        <v>16</v>
      </c>
      <c r="AA9" s="192">
        <v>17</v>
      </c>
      <c r="AB9" s="192">
        <v>18</v>
      </c>
      <c r="AC9" s="192">
        <v>19</v>
      </c>
      <c r="AD9" s="195"/>
      <c r="AE9" s="195"/>
    </row>
    <row r="10" spans="1:31" ht="12.75" customHeight="1">
      <c r="A10" s="258"/>
      <c r="B10" s="235"/>
      <c r="C10" s="82" t="s">
        <v>244</v>
      </c>
      <c r="D10" s="249"/>
      <c r="E10" s="17">
        <f>IF(D5=17,AA10,IF(D5=18,AB10,IF(D5=19,AC10,0)))*B8*A38/IF(A23=1,23,IF(A23=2,24,IF(A23=3,30,A38)))</f>
        <v>0</v>
      </c>
      <c r="F10" s="235"/>
      <c r="G10" s="234"/>
      <c r="H10" s="235"/>
      <c r="I10" s="234"/>
      <c r="J10" s="227" t="s">
        <v>103</v>
      </c>
      <c r="K10" s="198">
        <f>ROUND(K6*1.33,0)</f>
        <v>1037</v>
      </c>
      <c r="L10" s="196">
        <f>ROUND(K10+$K$10*0.053,0)</f>
        <v>1092</v>
      </c>
      <c r="M10" s="196">
        <f t="shared" ref="M10:AC10" si="2">ROUND(L10+$K$10*0.053,0)</f>
        <v>1147</v>
      </c>
      <c r="N10" s="196">
        <f t="shared" si="2"/>
        <v>1202</v>
      </c>
      <c r="O10" s="196">
        <f t="shared" si="2"/>
        <v>1257</v>
      </c>
      <c r="P10" s="196">
        <f t="shared" si="2"/>
        <v>1312</v>
      </c>
      <c r="Q10" s="196">
        <f t="shared" si="2"/>
        <v>1367</v>
      </c>
      <c r="R10" s="196">
        <f t="shared" si="2"/>
        <v>1422</v>
      </c>
      <c r="S10" s="196">
        <f t="shared" si="2"/>
        <v>1477</v>
      </c>
      <c r="T10" s="196">
        <f t="shared" si="2"/>
        <v>1532</v>
      </c>
      <c r="U10" s="196">
        <f t="shared" si="2"/>
        <v>1587</v>
      </c>
      <c r="V10" s="196">
        <f t="shared" si="2"/>
        <v>1642</v>
      </c>
      <c r="W10" s="196">
        <f t="shared" si="2"/>
        <v>1697</v>
      </c>
      <c r="X10" s="196">
        <f t="shared" si="2"/>
        <v>1752</v>
      </c>
      <c r="Y10" s="196">
        <f t="shared" si="2"/>
        <v>1807</v>
      </c>
      <c r="Z10" s="196">
        <f t="shared" si="2"/>
        <v>1862</v>
      </c>
      <c r="AA10" s="196">
        <f t="shared" si="2"/>
        <v>1917</v>
      </c>
      <c r="AB10" s="196">
        <f t="shared" si="2"/>
        <v>1972</v>
      </c>
      <c r="AC10" s="196">
        <f t="shared" si="2"/>
        <v>2027</v>
      </c>
      <c r="AD10" s="196"/>
      <c r="AE10" s="196"/>
    </row>
    <row r="11" spans="1:31" ht="12.75" customHeight="1">
      <c r="A11" s="258"/>
      <c r="B11" s="235">
        <f>IF(A23=3,1,0)</f>
        <v>0</v>
      </c>
      <c r="C11" s="82" t="s">
        <v>245</v>
      </c>
      <c r="D11" s="249"/>
      <c r="E11" s="17">
        <f>IF(D5=1,K7,IF(D5=2,L7,IF(D5=3,M7,IF(D5=4,N7,IF(D5=5,O7,IF(D5=6,P7,IF(D5=7,Q7,IF(D5=8,R7,0))))))))*B11*A38/IF(A23=1,23,IF(A23=2,24,IF(A23=3,30,A38)))</f>
        <v>0</v>
      </c>
      <c r="F11" s="235">
        <v>12</v>
      </c>
      <c r="G11" s="234">
        <f>ROUND((E11+E12)*F11,2)</f>
        <v>0</v>
      </c>
      <c r="H11" s="235"/>
      <c r="I11" s="234">
        <f>ROUND(G11*H5%,2)</f>
        <v>0</v>
      </c>
      <c r="J11" s="227" t="s">
        <v>104</v>
      </c>
      <c r="K11" s="198">
        <f>ROUND(K6*1.4,0)</f>
        <v>1092</v>
      </c>
      <c r="L11" s="196">
        <f>ROUND(K11+$K$11*0.054,0)</f>
        <v>1151</v>
      </c>
      <c r="M11" s="196">
        <f t="shared" ref="M11:AC11" si="3">ROUND(L11+$K$11*0.054,0)</f>
        <v>1210</v>
      </c>
      <c r="N11" s="196">
        <f t="shared" si="3"/>
        <v>1269</v>
      </c>
      <c r="O11" s="196">
        <f t="shared" si="3"/>
        <v>1328</v>
      </c>
      <c r="P11" s="196">
        <f t="shared" si="3"/>
        <v>1387</v>
      </c>
      <c r="Q11" s="196">
        <f t="shared" si="3"/>
        <v>1446</v>
      </c>
      <c r="R11" s="196">
        <f t="shared" si="3"/>
        <v>1505</v>
      </c>
      <c r="S11" s="196">
        <f t="shared" si="3"/>
        <v>1564</v>
      </c>
      <c r="T11" s="196">
        <f t="shared" si="3"/>
        <v>1623</v>
      </c>
      <c r="U11" s="196">
        <f t="shared" si="3"/>
        <v>1682</v>
      </c>
      <c r="V11" s="196">
        <f t="shared" si="3"/>
        <v>1741</v>
      </c>
      <c r="W11" s="196">
        <f t="shared" si="3"/>
        <v>1800</v>
      </c>
      <c r="X11" s="196">
        <f t="shared" si="3"/>
        <v>1859</v>
      </c>
      <c r="Y11" s="196">
        <f t="shared" si="3"/>
        <v>1918</v>
      </c>
      <c r="Z11" s="196">
        <f t="shared" si="3"/>
        <v>1977</v>
      </c>
      <c r="AA11" s="196">
        <f t="shared" si="3"/>
        <v>2036</v>
      </c>
      <c r="AB11" s="196">
        <f t="shared" si="3"/>
        <v>2095</v>
      </c>
      <c r="AC11" s="196">
        <f t="shared" si="3"/>
        <v>2154</v>
      </c>
      <c r="AD11" s="196"/>
      <c r="AE11" s="196"/>
    </row>
    <row r="12" spans="1:31" ht="12.75" customHeight="1">
      <c r="A12" s="258"/>
      <c r="B12" s="235"/>
      <c r="C12" s="82" t="s">
        <v>247</v>
      </c>
      <c r="D12" s="249"/>
      <c r="E12" s="17">
        <f>IF(D5=9,S7,IF(D5=10,T7,IF(D5=11,U7,IF(D5=12,V7,IF(D5=13,W7,0)))))*B11*A38/IF(A23=1,23,IF(A23=2,24,IF(A23=3,30,A38)))</f>
        <v>0</v>
      </c>
      <c r="F12" s="235"/>
      <c r="G12" s="234"/>
      <c r="H12" s="235"/>
      <c r="I12" s="234"/>
      <c r="J12" s="228"/>
      <c r="K12" s="201"/>
      <c r="L12" s="201"/>
      <c r="M12" s="201"/>
      <c r="N12" s="201"/>
      <c r="O12" s="201"/>
      <c r="P12" s="201"/>
      <c r="Q12" s="201"/>
      <c r="R12" s="202"/>
      <c r="S12" s="201"/>
      <c r="T12" s="201"/>
      <c r="U12" s="201"/>
      <c r="V12" s="202"/>
      <c r="W12" s="202"/>
      <c r="X12" s="201"/>
      <c r="Y12" s="201"/>
      <c r="Z12" s="201"/>
      <c r="AA12" s="201"/>
      <c r="AB12" s="202"/>
      <c r="AC12" s="202"/>
      <c r="AD12" s="202"/>
      <c r="AE12" s="203"/>
    </row>
    <row r="13" spans="1:31" ht="12.75" customHeight="1">
      <c r="A13" s="258"/>
      <c r="B13" s="235">
        <f>IF(A23=4,1,0)</f>
        <v>0</v>
      </c>
      <c r="C13" s="82" t="s">
        <v>245</v>
      </c>
      <c r="D13" s="249"/>
      <c r="E13" s="17">
        <f>IF(D5=1,K6,IF(D5=2,L6,IF(D5=3,M6,IF(D5=4,N6,IF(D5=5,O6,IF(D5=6,P6,IF(D5=7,Q6,IF(D5=8,R6,0))))))))*B13*A38/IF(A23=1,23,IF(A23=2,24,IF(A23=3,30,A38)))</f>
        <v>0</v>
      </c>
      <c r="F13" s="235">
        <v>12</v>
      </c>
      <c r="G13" s="248">
        <f>ROUND((E13+E14)*F13,2)</f>
        <v>0</v>
      </c>
      <c r="H13" s="235"/>
      <c r="I13" s="234">
        <f>ROUND(G13*H5%,2)</f>
        <v>0</v>
      </c>
      <c r="J13" s="228"/>
      <c r="K13" s="204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6"/>
      <c r="W13" s="206"/>
      <c r="X13" s="205"/>
      <c r="Y13" s="205"/>
      <c r="Z13" s="205"/>
      <c r="AA13" s="205"/>
      <c r="AB13" s="205"/>
      <c r="AC13" s="205"/>
      <c r="AD13" s="205"/>
      <c r="AE13" s="205"/>
    </row>
    <row r="14" spans="1:31" ht="12.75" customHeight="1">
      <c r="A14" s="258"/>
      <c r="B14" s="235"/>
      <c r="C14" s="82" t="s">
        <v>247</v>
      </c>
      <c r="D14" s="249"/>
      <c r="E14" s="17">
        <f>IF(D5=9,S6,IF(D5=10,T6,IF(D5=11,U6,IF(D5=12,V6,IF(D5=13,W6,0)))))*B13*A38/IF(A23=1,23,IF(A23=2,24,IF(A23=3,30,A38)))</f>
        <v>0</v>
      </c>
      <c r="F14" s="235"/>
      <c r="G14" s="248"/>
      <c r="H14" s="235"/>
      <c r="I14" s="234"/>
      <c r="J14" s="242" t="s">
        <v>78</v>
      </c>
      <c r="K14" s="237"/>
      <c r="L14" s="208" t="s">
        <v>123</v>
      </c>
      <c r="M14" s="207" t="s">
        <v>159</v>
      </c>
      <c r="N14" s="207" t="s">
        <v>318</v>
      </c>
      <c r="O14" s="207" t="s">
        <v>316</v>
      </c>
      <c r="P14" s="239" t="s">
        <v>283</v>
      </c>
      <c r="Q14" s="239"/>
      <c r="R14" s="239"/>
      <c r="S14" s="239" t="s">
        <v>284</v>
      </c>
      <c r="T14" s="239"/>
      <c r="U14" s="239"/>
      <c r="V14" s="237" t="s">
        <v>286</v>
      </c>
      <c r="W14" s="237"/>
      <c r="X14" s="237"/>
      <c r="Y14" s="237"/>
      <c r="Z14" s="237"/>
      <c r="AA14" s="237" t="s">
        <v>285</v>
      </c>
      <c r="AB14" s="237"/>
      <c r="AC14" s="237"/>
      <c r="AD14" s="237"/>
      <c r="AE14" s="237"/>
    </row>
    <row r="15" spans="1:31" ht="12.75" customHeight="1">
      <c r="A15" s="258"/>
      <c r="B15" s="1"/>
      <c r="C15" s="82" t="s">
        <v>243</v>
      </c>
      <c r="D15" s="249"/>
      <c r="E15" s="134"/>
      <c r="F15" s="3">
        <v>12</v>
      </c>
      <c r="G15" s="17">
        <f>ROUND(E15*F15,2)</f>
        <v>0</v>
      </c>
      <c r="H15" s="17">
        <v>16.079999999999998</v>
      </c>
      <c r="I15" s="17">
        <f>ROUND(G15*H15%,2)</f>
        <v>0</v>
      </c>
      <c r="J15" s="242" t="s">
        <v>41</v>
      </c>
      <c r="K15" s="237"/>
      <c r="L15" s="208" t="s">
        <v>122</v>
      </c>
      <c r="M15" s="207" t="s">
        <v>19</v>
      </c>
      <c r="N15" s="208" t="s">
        <v>317</v>
      </c>
      <c r="O15" s="207" t="s">
        <v>317</v>
      </c>
      <c r="P15" s="207" t="s">
        <v>320</v>
      </c>
      <c r="Q15" s="207" t="s">
        <v>324</v>
      </c>
      <c r="R15" s="207" t="s">
        <v>321</v>
      </c>
      <c r="S15" s="207" t="s">
        <v>320</v>
      </c>
      <c r="T15" s="207" t="s">
        <v>324</v>
      </c>
      <c r="U15" s="207" t="s">
        <v>321</v>
      </c>
      <c r="V15" s="207" t="s">
        <v>15</v>
      </c>
      <c r="W15" s="209" t="s">
        <v>289</v>
      </c>
      <c r="X15" s="209" t="s">
        <v>287</v>
      </c>
      <c r="Y15" s="209" t="s">
        <v>319</v>
      </c>
      <c r="Z15" s="209" t="s">
        <v>145</v>
      </c>
      <c r="AA15" s="207" t="s">
        <v>15</v>
      </c>
      <c r="AB15" s="209" t="s">
        <v>289</v>
      </c>
      <c r="AC15" s="209" t="s">
        <v>287</v>
      </c>
      <c r="AD15" s="209" t="s">
        <v>319</v>
      </c>
      <c r="AE15" s="209" t="s">
        <v>145</v>
      </c>
    </row>
    <row r="16" spans="1:31" ht="12.75" customHeight="1">
      <c r="A16" s="258"/>
      <c r="B16" s="12" t="s">
        <v>3</v>
      </c>
      <c r="C16" s="82" t="s">
        <v>59</v>
      </c>
      <c r="D16" s="233">
        <v>0</v>
      </c>
      <c r="E16" s="94">
        <f>IF(D16=0,K25,IF(D16=0,L25,IF(D16=1,M25,IF(D16=2,N25,IF(D16=3,O25,IF(D16=4,P25,IF(D16=5,Q25,IF(D16=6,R25,0))))))))*A38/IF(A23=1,23,IF(A23=2,24,IF(A23=3,30,A38)))</f>
        <v>0</v>
      </c>
      <c r="F16" s="235">
        <v>12</v>
      </c>
      <c r="G16" s="234">
        <f>ROUND((E16+E17)*F16,2)</f>
        <v>0</v>
      </c>
      <c r="H16" s="234">
        <v>16.079999999999998</v>
      </c>
      <c r="I16" s="234">
        <f>ROUND(G16*H16%,2)</f>
        <v>0</v>
      </c>
      <c r="J16" s="243" t="s">
        <v>58</v>
      </c>
      <c r="K16" s="236"/>
      <c r="L16" s="211">
        <v>900</v>
      </c>
      <c r="M16" s="211">
        <v>550</v>
      </c>
      <c r="N16" s="211">
        <v>500</v>
      </c>
      <c r="O16" s="211">
        <v>350</v>
      </c>
      <c r="P16" s="211">
        <v>385</v>
      </c>
      <c r="Q16" s="211">
        <v>385</v>
      </c>
      <c r="R16" s="211">
        <v>385</v>
      </c>
      <c r="S16" s="211">
        <v>330</v>
      </c>
      <c r="T16" s="211">
        <v>330</v>
      </c>
      <c r="U16" s="211">
        <v>330</v>
      </c>
      <c r="V16" s="211">
        <v>330</v>
      </c>
      <c r="W16" s="211">
        <v>330</v>
      </c>
      <c r="X16" s="211">
        <v>330</v>
      </c>
      <c r="Y16" s="211">
        <v>330</v>
      </c>
      <c r="Z16" s="211">
        <v>330</v>
      </c>
      <c r="AA16" s="211">
        <v>275</v>
      </c>
      <c r="AB16" s="211">
        <v>275</v>
      </c>
      <c r="AC16" s="211">
        <v>275</v>
      </c>
      <c r="AD16" s="211">
        <v>275</v>
      </c>
      <c r="AE16" s="211">
        <v>275</v>
      </c>
    </row>
    <row r="17" spans="1:31" ht="12.75" customHeight="1">
      <c r="A17" s="258"/>
      <c r="B17" s="12" t="s">
        <v>4</v>
      </c>
      <c r="C17" s="82" t="s">
        <v>59</v>
      </c>
      <c r="D17" s="233"/>
      <c r="E17" s="94">
        <f>IF(D16=7,S25,IF(D16=8,T25,IF(D16=9,U25,IF(D16=10,V25,0))))*A38/IF(A23=1,23,IF(A23=2,24,IF(A23=3,30,A38)))</f>
        <v>0</v>
      </c>
      <c r="F17" s="235"/>
      <c r="G17" s="234"/>
      <c r="H17" s="234"/>
      <c r="I17" s="234"/>
      <c r="J17" s="227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212"/>
      <c r="AC17" s="212"/>
      <c r="AD17" s="189"/>
      <c r="AE17" s="189"/>
    </row>
    <row r="18" spans="1:31" ht="12.75" customHeight="1">
      <c r="A18" s="258"/>
      <c r="B18" s="12" t="s">
        <v>5</v>
      </c>
      <c r="C18" s="82" t="s">
        <v>58</v>
      </c>
      <c r="D18" s="233">
        <v>0</v>
      </c>
      <c r="E18" s="17">
        <f>IF(D18=1,P16,IF(D18=2,S16,IF(D18=3,V16,IF(D18=4,AA16,IF(D18=5,L21,IF(D18=6,V21,IF(D18=7,O16,0)))))))*A38/IF(A23=1,23,IF(A23=2,24,IF(A23=3,30,A38)))</f>
        <v>0</v>
      </c>
      <c r="F18" s="235">
        <v>12</v>
      </c>
      <c r="G18" s="234">
        <f>ROUND((E18+E19)*F18,2)</f>
        <v>0</v>
      </c>
      <c r="H18" s="234">
        <v>16.079999999999998</v>
      </c>
      <c r="I18" s="234">
        <f>ROUND(G18*H18%,2)</f>
        <v>0</v>
      </c>
      <c r="J18" s="227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9"/>
      <c r="AC18" s="189"/>
      <c r="AD18" s="189"/>
      <c r="AE18" s="189"/>
    </row>
    <row r="19" spans="1:31" ht="12.75" customHeight="1">
      <c r="A19" s="258"/>
      <c r="B19" s="12" t="s">
        <v>6</v>
      </c>
      <c r="C19" s="82" t="s">
        <v>58</v>
      </c>
      <c r="D19" s="233"/>
      <c r="E19" s="17">
        <f>IF(D18=8,M16,IF(D18=9,U21,IF(D18=10,N16,IF(D18=11,L16,IF(D18=12,Z21,IF(D18=13,Y21,0))))))*A38/IF(A23=1,23,IF(A23=2,24,IF(A23=3,30,A38)))</f>
        <v>0</v>
      </c>
      <c r="F19" s="235"/>
      <c r="G19" s="234"/>
      <c r="H19" s="234"/>
      <c r="I19" s="234"/>
      <c r="J19" s="242" t="s">
        <v>78</v>
      </c>
      <c r="K19" s="237"/>
      <c r="L19" s="237" t="s">
        <v>147</v>
      </c>
      <c r="M19" s="238"/>
      <c r="N19" s="238"/>
      <c r="O19" s="238"/>
      <c r="P19" s="238"/>
      <c r="Q19" s="238"/>
      <c r="R19" s="238"/>
      <c r="S19" s="208" t="s">
        <v>156</v>
      </c>
      <c r="T19" s="237" t="s">
        <v>159</v>
      </c>
      <c r="U19" s="238"/>
      <c r="V19" s="238"/>
      <c r="W19" s="238"/>
      <c r="X19" s="238"/>
      <c r="Y19" s="238"/>
      <c r="Z19" s="238"/>
      <c r="AA19" s="209" t="s">
        <v>16</v>
      </c>
      <c r="AB19" s="213" t="s">
        <v>196</v>
      </c>
      <c r="AC19" s="236" t="s">
        <v>195</v>
      </c>
      <c r="AD19" s="236"/>
      <c r="AE19" s="236"/>
    </row>
    <row r="20" spans="1:31" ht="12.75" customHeight="1">
      <c r="A20" s="258"/>
      <c r="B20" s="12" t="s">
        <v>7</v>
      </c>
      <c r="C20" s="82" t="s">
        <v>114</v>
      </c>
      <c r="D20" s="24">
        <v>0</v>
      </c>
      <c r="E20" s="17">
        <f>IF(D20=1,AB21,0)*A38/IF(A23=1,23,IF(A23=2,24,IF(A23=3,30,A38)))</f>
        <v>0</v>
      </c>
      <c r="F20" s="16">
        <v>12</v>
      </c>
      <c r="G20" s="17">
        <f>ROUND(E20*F20,2)</f>
        <v>0</v>
      </c>
      <c r="H20" s="17">
        <v>16.079999999999998</v>
      </c>
      <c r="I20" s="17">
        <f>ROUND(G20*H20%,2)</f>
        <v>0</v>
      </c>
      <c r="J20" s="242" t="s">
        <v>41</v>
      </c>
      <c r="K20" s="237"/>
      <c r="L20" s="207" t="s">
        <v>320</v>
      </c>
      <c r="M20" s="207" t="s">
        <v>324</v>
      </c>
      <c r="N20" s="207" t="s">
        <v>15</v>
      </c>
      <c r="O20" s="209" t="s">
        <v>287</v>
      </c>
      <c r="P20" s="209" t="s">
        <v>321</v>
      </c>
      <c r="Q20" s="209" t="s">
        <v>319</v>
      </c>
      <c r="R20" s="209" t="s">
        <v>145</v>
      </c>
      <c r="S20" s="209" t="s">
        <v>288</v>
      </c>
      <c r="T20" s="21" t="s">
        <v>322</v>
      </c>
      <c r="U20" s="210" t="s">
        <v>323</v>
      </c>
      <c r="V20" s="209" t="s">
        <v>146</v>
      </c>
      <c r="W20" s="214" t="s">
        <v>152</v>
      </c>
      <c r="X20" s="215" t="s">
        <v>166</v>
      </c>
      <c r="Y20" s="207" t="s">
        <v>106</v>
      </c>
      <c r="Z20" s="207" t="s">
        <v>77</v>
      </c>
      <c r="AA20" s="209" t="s">
        <v>17</v>
      </c>
      <c r="AB20" s="209" t="s">
        <v>197</v>
      </c>
      <c r="AC20" s="209" t="s">
        <v>198</v>
      </c>
      <c r="AD20" s="209" t="s">
        <v>199</v>
      </c>
      <c r="AE20" s="209" t="s">
        <v>200</v>
      </c>
    </row>
    <row r="21" spans="1:31" ht="12.75" customHeight="1">
      <c r="A21" s="258"/>
      <c r="B21" s="12" t="s">
        <v>4</v>
      </c>
      <c r="C21" s="1" t="s">
        <v>172</v>
      </c>
      <c r="D21" s="24">
        <v>0</v>
      </c>
      <c r="E21" s="17">
        <f>IF(D21=1,AC21,IF(D21=2,AD21,IF(D21=3,AE21,0)))*A38/IF(A23=1,23,IF(A23=2,24,IF(A23=3,30,A38)))</f>
        <v>0</v>
      </c>
      <c r="F21" s="16">
        <v>12</v>
      </c>
      <c r="G21" s="17">
        <f>ROUND(E21*F21,2)</f>
        <v>0</v>
      </c>
      <c r="H21" s="17">
        <v>16.329999999999998</v>
      </c>
      <c r="I21" s="17">
        <f>ROUND(G21*H21%,2)</f>
        <v>0</v>
      </c>
      <c r="J21" s="243" t="s">
        <v>58</v>
      </c>
      <c r="K21" s="236"/>
      <c r="L21" s="211">
        <v>150</v>
      </c>
      <c r="M21" s="216">
        <v>150</v>
      </c>
      <c r="N21" s="211">
        <v>150</v>
      </c>
      <c r="O21" s="211">
        <v>150</v>
      </c>
      <c r="P21" s="211">
        <v>150</v>
      </c>
      <c r="Q21" s="211">
        <v>150</v>
      </c>
      <c r="R21" s="211">
        <v>150</v>
      </c>
      <c r="S21" s="211">
        <v>150</v>
      </c>
      <c r="T21" s="4">
        <v>150</v>
      </c>
      <c r="U21" s="211">
        <v>350</v>
      </c>
      <c r="V21" s="211">
        <v>165</v>
      </c>
      <c r="W21" s="211">
        <v>165</v>
      </c>
      <c r="X21" s="211">
        <v>165</v>
      </c>
      <c r="Y21" s="211">
        <v>300</v>
      </c>
      <c r="Z21" s="211">
        <v>290</v>
      </c>
      <c r="AA21" s="208" t="s">
        <v>120</v>
      </c>
      <c r="AB21" s="211">
        <v>100</v>
      </c>
      <c r="AC21" s="211">
        <v>150</v>
      </c>
      <c r="AD21" s="211">
        <v>70</v>
      </c>
      <c r="AE21" s="211">
        <v>35</v>
      </c>
    </row>
    <row r="22" spans="1:31" ht="12.75" customHeight="1">
      <c r="A22" s="34"/>
      <c r="B22" s="12"/>
      <c r="C22" s="82" t="s">
        <v>34</v>
      </c>
      <c r="D22" s="24">
        <v>0</v>
      </c>
      <c r="E22" s="17"/>
      <c r="F22" s="16">
        <v>0</v>
      </c>
      <c r="G22" s="17"/>
      <c r="H22" s="17">
        <f>D22</f>
        <v>0</v>
      </c>
      <c r="I22" s="17">
        <f>ROUND(F22*H22,2)</f>
        <v>0</v>
      </c>
      <c r="J22" s="106"/>
      <c r="K22" s="24"/>
      <c r="L22" s="12"/>
      <c r="M22" s="98"/>
      <c r="N22" s="12"/>
      <c r="O22" s="12"/>
      <c r="P22" s="12"/>
      <c r="Q22" s="12"/>
      <c r="R22" s="12"/>
      <c r="S22" s="12"/>
      <c r="T22" s="12"/>
      <c r="U22" s="12"/>
      <c r="V22" s="24"/>
      <c r="W22" s="150"/>
      <c r="X22" s="151"/>
      <c r="Y22" s="151"/>
      <c r="Z22" s="151"/>
      <c r="AA22" s="151"/>
      <c r="AB22" s="144"/>
      <c r="AC22" s="144"/>
      <c r="AD22" s="144"/>
      <c r="AE22" s="144"/>
    </row>
    <row r="23" spans="1:31" ht="12.75" customHeight="1">
      <c r="A23" s="21">
        <v>1</v>
      </c>
      <c r="B23" s="12"/>
      <c r="C23" s="82" t="s">
        <v>60</v>
      </c>
      <c r="D23" s="24">
        <v>0</v>
      </c>
      <c r="E23" s="17"/>
      <c r="F23" s="16">
        <v>12</v>
      </c>
      <c r="G23" s="17"/>
      <c r="H23" s="17">
        <f>D23</f>
        <v>0</v>
      </c>
      <c r="I23" s="17">
        <f>ROUND(F23*H23,2)</f>
        <v>0</v>
      </c>
      <c r="J23" s="106"/>
      <c r="K23" s="24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79"/>
      <c r="Y23" s="11"/>
      <c r="Z23" s="11"/>
      <c r="AA23" s="11"/>
      <c r="AB23" s="84"/>
      <c r="AC23" s="84"/>
      <c r="AD23" s="84"/>
      <c r="AE23" s="84"/>
    </row>
    <row r="24" spans="1:31" ht="12.75" customHeight="1">
      <c r="A24" s="270" t="s">
        <v>82</v>
      </c>
      <c r="B24" s="12"/>
      <c r="C24" s="82" t="s">
        <v>266</v>
      </c>
      <c r="D24" s="184">
        <v>0</v>
      </c>
      <c r="E24" s="17"/>
      <c r="F24" s="16"/>
      <c r="G24" s="17"/>
      <c r="H24" s="17"/>
      <c r="I24" s="17"/>
      <c r="J24" s="106" t="s">
        <v>17</v>
      </c>
      <c r="K24" s="12" t="s">
        <v>14</v>
      </c>
      <c r="L24" s="12" t="s">
        <v>13</v>
      </c>
      <c r="M24" s="12" t="s">
        <v>64</v>
      </c>
      <c r="N24" s="12" t="s">
        <v>65</v>
      </c>
      <c r="O24" s="12" t="s">
        <v>66</v>
      </c>
      <c r="P24" s="12" t="s">
        <v>67</v>
      </c>
      <c r="Q24" s="12" t="s">
        <v>68</v>
      </c>
      <c r="R24" s="12" t="s">
        <v>69</v>
      </c>
      <c r="S24" s="12" t="s">
        <v>70</v>
      </c>
      <c r="T24" s="12" t="s">
        <v>71</v>
      </c>
      <c r="U24" s="12" t="s">
        <v>74</v>
      </c>
      <c r="V24" s="12" t="s">
        <v>151</v>
      </c>
      <c r="W24" s="79"/>
      <c r="Y24" s="11"/>
      <c r="Z24" s="11"/>
      <c r="AA24" s="11"/>
      <c r="AB24" s="5"/>
      <c r="AC24" s="5"/>
      <c r="AD24" s="84"/>
      <c r="AE24" s="84"/>
    </row>
    <row r="25" spans="1:31" ht="12.75" customHeight="1">
      <c r="A25" s="271"/>
      <c r="B25" s="12"/>
      <c r="C25" s="82"/>
      <c r="D25" s="24"/>
      <c r="E25" s="17"/>
      <c r="F25" s="16"/>
      <c r="G25" s="17"/>
      <c r="H25" s="17"/>
      <c r="I25" s="17"/>
      <c r="J25" s="106" t="s">
        <v>72</v>
      </c>
      <c r="K25" s="94">
        <f>K27</f>
        <v>0</v>
      </c>
      <c r="L25" s="17">
        <f t="shared" ref="L25:V25" si="4">K25+L27</f>
        <v>0</v>
      </c>
      <c r="M25" s="17">
        <f t="shared" si="4"/>
        <v>50</v>
      </c>
      <c r="N25" s="17">
        <f t="shared" si="4"/>
        <v>70</v>
      </c>
      <c r="O25" s="17">
        <f t="shared" si="4"/>
        <v>120</v>
      </c>
      <c r="P25" s="17">
        <f t="shared" si="4"/>
        <v>170</v>
      </c>
      <c r="Q25" s="17">
        <f t="shared" si="4"/>
        <v>240</v>
      </c>
      <c r="R25" s="17">
        <f t="shared" si="4"/>
        <v>310</v>
      </c>
      <c r="S25" s="17">
        <f t="shared" si="4"/>
        <v>380</v>
      </c>
      <c r="T25" s="17">
        <f t="shared" si="4"/>
        <v>450</v>
      </c>
      <c r="U25" s="17">
        <f t="shared" si="4"/>
        <v>520</v>
      </c>
      <c r="V25" s="17">
        <f t="shared" si="4"/>
        <v>590</v>
      </c>
      <c r="W25" s="152"/>
      <c r="X25" s="5"/>
      <c r="Y25" s="5"/>
      <c r="Z25" s="5"/>
      <c r="AA25" s="5"/>
      <c r="AB25" s="5"/>
      <c r="AC25" s="5"/>
      <c r="AD25" s="84"/>
      <c r="AE25" s="84"/>
    </row>
    <row r="26" spans="1:31" ht="12.75" customHeight="1">
      <c r="A26" s="271"/>
      <c r="B26" s="12"/>
      <c r="C26" s="82"/>
      <c r="D26" s="24"/>
      <c r="E26" s="17"/>
      <c r="F26" s="16"/>
      <c r="G26" s="17"/>
      <c r="H26" s="17"/>
      <c r="I26" s="17"/>
      <c r="J26" s="106" t="s">
        <v>75</v>
      </c>
      <c r="K26" s="12" t="s">
        <v>14</v>
      </c>
      <c r="L26" s="28" t="s">
        <v>33</v>
      </c>
      <c r="M26" s="28" t="s">
        <v>25</v>
      </c>
      <c r="N26" s="28" t="s">
        <v>26</v>
      </c>
      <c r="O26" s="28" t="s">
        <v>27</v>
      </c>
      <c r="P26" s="28" t="s">
        <v>28</v>
      </c>
      <c r="Q26" s="28" t="s">
        <v>29</v>
      </c>
      <c r="R26" s="28" t="s">
        <v>30</v>
      </c>
      <c r="S26" s="28" t="s">
        <v>31</v>
      </c>
      <c r="T26" s="28" t="s">
        <v>32</v>
      </c>
      <c r="U26" s="28" t="s">
        <v>73</v>
      </c>
      <c r="V26" s="28" t="s">
        <v>150</v>
      </c>
      <c r="W26" s="152"/>
      <c r="X26" s="5"/>
      <c r="Y26" s="5"/>
      <c r="Z26" s="5"/>
      <c r="AA26" s="5"/>
      <c r="AB26" s="5"/>
      <c r="AC26" s="5"/>
      <c r="AD26" s="84"/>
      <c r="AE26" s="84"/>
    </row>
    <row r="27" spans="1:31" ht="12.75" customHeight="1">
      <c r="A27" s="271"/>
      <c r="B27" s="12"/>
      <c r="C27" s="82"/>
      <c r="D27" s="24"/>
      <c r="E27" s="17"/>
      <c r="F27" s="16"/>
      <c r="G27" s="17"/>
      <c r="H27" s="17"/>
      <c r="I27" s="17"/>
      <c r="J27" s="106" t="s">
        <v>76</v>
      </c>
      <c r="K27" s="94">
        <v>0</v>
      </c>
      <c r="L27" s="94">
        <v>0</v>
      </c>
      <c r="M27" s="94">
        <v>50</v>
      </c>
      <c r="N27" s="94">
        <v>20</v>
      </c>
      <c r="O27" s="94">
        <v>50</v>
      </c>
      <c r="P27" s="94">
        <v>50</v>
      </c>
      <c r="Q27" s="94">
        <v>70</v>
      </c>
      <c r="R27" s="94">
        <v>70</v>
      </c>
      <c r="S27" s="94">
        <v>70</v>
      </c>
      <c r="T27" s="94">
        <v>70</v>
      </c>
      <c r="U27" s="94">
        <v>70</v>
      </c>
      <c r="V27" s="94">
        <v>70</v>
      </c>
      <c r="W27" s="152"/>
      <c r="X27" s="5"/>
      <c r="Y27" s="5"/>
      <c r="Z27" s="5"/>
      <c r="AA27" s="5"/>
      <c r="AB27" s="5"/>
      <c r="AC27" s="5"/>
      <c r="AD27" s="84"/>
      <c r="AE27" s="84"/>
    </row>
    <row r="28" spans="1:31" ht="12.75" customHeight="1">
      <c r="A28" s="271"/>
      <c r="B28" s="34"/>
      <c r="C28" s="82"/>
      <c r="D28" s="24"/>
      <c r="E28" s="17"/>
      <c r="F28" s="16"/>
      <c r="G28" s="17"/>
      <c r="H28" s="17"/>
      <c r="I28" s="17"/>
      <c r="J28" s="156"/>
      <c r="K28" s="156"/>
      <c r="L28" s="156"/>
      <c r="M28" s="156"/>
      <c r="N28" s="156"/>
      <c r="O28" s="156"/>
      <c r="P28" s="155"/>
      <c r="Q28" s="155"/>
      <c r="R28" s="155"/>
      <c r="S28" s="8"/>
      <c r="T28" s="8"/>
      <c r="U28" s="8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ht="12.75" customHeight="1">
      <c r="A29" s="271"/>
      <c r="B29" s="34"/>
      <c r="C29" s="82"/>
      <c r="D29" s="24"/>
      <c r="E29" s="17"/>
      <c r="F29" s="16"/>
      <c r="G29" s="17"/>
      <c r="H29" s="17"/>
      <c r="I29" s="17"/>
    </row>
    <row r="30" spans="1:31" ht="12.75" customHeight="1">
      <c r="A30" s="271"/>
      <c r="B30" s="34"/>
      <c r="C30" s="82"/>
      <c r="D30" s="24"/>
      <c r="E30" s="17"/>
      <c r="F30" s="16"/>
      <c r="G30" s="17"/>
      <c r="H30" s="17"/>
      <c r="I30" s="17"/>
    </row>
    <row r="31" spans="1:31" ht="12.75" customHeight="1">
      <c r="A31" s="271"/>
      <c r="B31" s="34"/>
      <c r="C31" s="82"/>
      <c r="D31" s="16"/>
      <c r="E31" s="17"/>
      <c r="F31" s="39"/>
      <c r="G31" s="17"/>
      <c r="H31" s="17"/>
      <c r="I31" s="17"/>
    </row>
    <row r="32" spans="1:31" ht="12.75" customHeight="1">
      <c r="A32" s="271"/>
      <c r="B32" s="34"/>
      <c r="C32" s="34"/>
      <c r="D32" s="16"/>
      <c r="E32" s="154"/>
      <c r="F32" s="16"/>
      <c r="G32" s="17"/>
      <c r="H32" s="16"/>
      <c r="I32" s="17"/>
    </row>
    <row r="33" spans="1:31" ht="12.75" customHeight="1">
      <c r="A33" s="271"/>
      <c r="B33" s="34"/>
      <c r="C33" s="16" t="s">
        <v>208</v>
      </c>
      <c r="D33" s="16"/>
      <c r="E33" s="99">
        <f>E5+E6+E7+E8+E9+E10+E11+E12+E13+E14+E15+E16+E17+E18+E19+E20+E21</f>
        <v>1092</v>
      </c>
      <c r="F33" s="16"/>
      <c r="G33" s="17">
        <f>G5+G8+G11+G13+G15+G16+G18+G20+G21</f>
        <v>13104</v>
      </c>
      <c r="H33" s="17"/>
      <c r="I33" s="17">
        <f>I5+I8+I11+I13+I15+I16+I18+I20+I21+I22+I23</f>
        <v>2107.12</v>
      </c>
    </row>
    <row r="34" spans="1:31" ht="12.75" customHeight="1">
      <c r="A34" s="271"/>
      <c r="B34" s="12"/>
      <c r="C34" s="16"/>
      <c r="D34" s="16"/>
      <c r="E34" s="17"/>
      <c r="F34" s="16"/>
      <c r="G34" s="17"/>
      <c r="H34" s="17"/>
      <c r="I34" s="17"/>
    </row>
    <row r="35" spans="1:31" ht="12.75" customHeight="1">
      <c r="A35" s="271"/>
      <c r="B35" s="12"/>
      <c r="C35" s="122"/>
      <c r="D35" s="16"/>
      <c r="E35" s="17"/>
      <c r="F35" s="16"/>
      <c r="G35" s="16"/>
      <c r="H35" s="16"/>
      <c r="I35" s="16"/>
    </row>
    <row r="36" spans="1:31" ht="12.75" customHeight="1">
      <c r="A36" s="272"/>
      <c r="B36" s="12"/>
      <c r="C36" s="101" t="s">
        <v>222</v>
      </c>
      <c r="D36" s="1"/>
      <c r="E36" s="17">
        <f>G33</f>
        <v>13104</v>
      </c>
      <c r="F36" s="1"/>
      <c r="G36" s="1"/>
      <c r="H36" s="1"/>
      <c r="I36" s="17"/>
    </row>
    <row r="37" spans="1:31" ht="12.75" customHeight="1">
      <c r="A37" s="273"/>
      <c r="B37" s="12"/>
      <c r="C37" s="102" t="s">
        <v>223</v>
      </c>
      <c r="D37" s="1"/>
      <c r="E37" s="17">
        <f>ROUND((I72+I74+I78)*12,2)</f>
        <v>2107.08</v>
      </c>
      <c r="F37" s="1"/>
      <c r="G37" s="1"/>
      <c r="H37" s="1"/>
      <c r="I37" s="17"/>
    </row>
    <row r="38" spans="1:31" ht="12.75" customHeight="1">
      <c r="A38" s="24">
        <v>23</v>
      </c>
      <c r="B38" s="12"/>
      <c r="C38" s="103" t="s">
        <v>224</v>
      </c>
      <c r="D38" s="1"/>
      <c r="E38" s="28">
        <f>E36-E37</f>
        <v>10996.92</v>
      </c>
      <c r="F38" s="1"/>
      <c r="G38" s="1"/>
      <c r="H38" s="1"/>
      <c r="I38" s="28"/>
    </row>
    <row r="39" spans="1:31" ht="12.75" customHeight="1">
      <c r="A39" s="257" t="s">
        <v>79</v>
      </c>
      <c r="B39" s="12"/>
      <c r="C39" s="104"/>
      <c r="D39" s="39"/>
      <c r="E39" s="17"/>
      <c r="F39" s="16"/>
      <c r="G39" s="17"/>
      <c r="H39" s="17"/>
      <c r="I39" s="17"/>
    </row>
    <row r="40" spans="1:31" ht="12.75" customHeight="1">
      <c r="A40" s="249"/>
      <c r="B40" s="12"/>
      <c r="C40" s="12" t="s">
        <v>57</v>
      </c>
      <c r="D40" s="12"/>
      <c r="E40" s="181" t="s">
        <v>260</v>
      </c>
      <c r="F40" s="12"/>
      <c r="G40" s="28" t="s">
        <v>207</v>
      </c>
      <c r="H40" s="28" t="s">
        <v>23</v>
      </c>
      <c r="I40" s="28" t="s">
        <v>56</v>
      </c>
    </row>
    <row r="41" spans="1:31" ht="12.75" customHeight="1">
      <c r="A41" s="249"/>
      <c r="B41" s="12"/>
      <c r="C41" s="82" t="s">
        <v>51</v>
      </c>
      <c r="D41" s="105"/>
      <c r="E41" s="17">
        <f>IF($A$23=0,0,IF(D24=0,777,IF(D24=1,810,IF(D24=2,900,IF(D24&gt;=3,900+ROUND((D24-2)*220,2))))))</f>
        <v>777</v>
      </c>
      <c r="F41" s="94"/>
      <c r="G41" s="137">
        <f>IF(E38&lt;10000,E38,10000)</f>
        <v>10000</v>
      </c>
      <c r="H41" s="137">
        <v>9</v>
      </c>
      <c r="I41" s="137">
        <f>IF(ROUND(G41*H41%,2)-E41&lt;0,0,ROUND(G41*H41%,2)-E41)</f>
        <v>123</v>
      </c>
    </row>
    <row r="42" spans="1:31" ht="12.75" customHeight="1">
      <c r="A42" s="249"/>
      <c r="B42" s="12"/>
      <c r="C42" s="82" t="s">
        <v>52</v>
      </c>
      <c r="D42" s="105"/>
      <c r="E42" s="17"/>
      <c r="F42" s="94"/>
      <c r="G42" s="137">
        <f>IF(E38&lt;12000,E38-G41,2000)</f>
        <v>996.92000000000007</v>
      </c>
      <c r="H42" s="137">
        <v>22</v>
      </c>
      <c r="I42" s="137">
        <f>IF(G42=0,0,IF(ROUND(G42*H42%,2)-ROUND((D27-2)*220,2)&lt;0,0,IF(D27&lt;3,ROUND(G42*H42%,2),IF(D27&lt;5,ROUND(G42*H42%,2)-ROUND((D27-2)*220,2),0))))</f>
        <v>219.32</v>
      </c>
    </row>
    <row r="43" spans="1:31" ht="12.75" customHeight="1">
      <c r="A43" s="249"/>
      <c r="B43" s="12"/>
      <c r="C43" s="82" t="s">
        <v>52</v>
      </c>
      <c r="D43" s="105"/>
      <c r="E43" s="17"/>
      <c r="F43" s="94"/>
      <c r="G43" s="137">
        <f>IF(E38&lt;20000,E38-G41-G42,8000)</f>
        <v>0</v>
      </c>
      <c r="H43" s="137">
        <v>22</v>
      </c>
      <c r="I43" s="137">
        <f>IF(G43=0,0,IF(D27&lt;5,ROUND(G43*H43%,2)+ROUND(FLOOR(G43,1000)*20/1000,2),IF(D27&lt;13,ROUND(G43*H43%,2)-ROUND((D27-4)*220,2)+ROUND(FLOOR(G43,1000)*20/1000,2))))</f>
        <v>0</v>
      </c>
    </row>
    <row r="44" spans="1:31" ht="12.75" customHeight="1">
      <c r="A44" s="249"/>
      <c r="B44" s="12"/>
      <c r="C44" s="82" t="s">
        <v>53</v>
      </c>
      <c r="D44" s="105"/>
      <c r="E44" s="1"/>
      <c r="F44" s="94"/>
      <c r="G44" s="137">
        <f>IF(E38&lt;30000,E38-G41-G42-G43,10000)</f>
        <v>0</v>
      </c>
      <c r="H44" s="137">
        <v>28</v>
      </c>
      <c r="I44" s="137">
        <f>IF(G44=0,0,ROUND(G44*H44%,2)+ROUND(FLOOR(G44,1000)*20/1000,2))</f>
        <v>0</v>
      </c>
      <c r="J44" s="11" t="s">
        <v>315</v>
      </c>
      <c r="K44" s="156"/>
      <c r="L44" s="156"/>
      <c r="M44" s="156"/>
      <c r="N44" s="156"/>
      <c r="O44" s="156"/>
      <c r="P44" s="155"/>
      <c r="Q44" s="155"/>
      <c r="R44" s="155"/>
      <c r="S44" s="8"/>
      <c r="T44" s="8"/>
      <c r="U44" s="8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ht="12.75" customHeight="1">
      <c r="A45" s="249"/>
      <c r="B45" s="12"/>
      <c r="C45" s="82" t="s">
        <v>54</v>
      </c>
      <c r="D45" s="105"/>
      <c r="E45" s="17"/>
      <c r="F45" s="94"/>
      <c r="G45" s="137">
        <f>IF(E38&lt;40000,E38-G41-G42-G43-G44,10000)</f>
        <v>0</v>
      </c>
      <c r="H45" s="137">
        <v>36</v>
      </c>
      <c r="I45" s="137">
        <f>IF(G45=0,0,ROUND(G45*H45%,2)+ROUND(FLOOR(G45,1000)*20/1000,2))</f>
        <v>0</v>
      </c>
    </row>
    <row r="46" spans="1:31" ht="12.75" customHeight="1">
      <c r="A46" s="249"/>
      <c r="B46" s="12"/>
      <c r="C46" s="82" t="s">
        <v>291</v>
      </c>
      <c r="D46" s="105"/>
      <c r="E46" s="17"/>
      <c r="F46" s="94"/>
      <c r="G46" s="137">
        <f>IF(E38&lt;50000,E38-G41-G42-G43-G44-G45,10000)</f>
        <v>0</v>
      </c>
      <c r="H46" s="137">
        <v>44</v>
      </c>
      <c r="I46" s="137">
        <f>IF(G46=0,0,ROUND(G46*H46%,2)+ROUND(FLOOR(G46,1000)*20/1000,2))</f>
        <v>0</v>
      </c>
    </row>
    <row r="47" spans="1:31" ht="12.75" customHeight="1">
      <c r="A47" s="249"/>
      <c r="B47" s="12"/>
      <c r="C47" s="82" t="s">
        <v>291</v>
      </c>
      <c r="D47" s="105"/>
      <c r="E47" s="17"/>
      <c r="F47" s="94"/>
      <c r="G47" s="137">
        <f>IF(E38&gt;50000,E38-G41-G42-G43-G44-G45-G46,0)</f>
        <v>0</v>
      </c>
      <c r="H47" s="137">
        <v>44</v>
      </c>
      <c r="I47" s="137">
        <f>ROUND(G47*H47%,2)</f>
        <v>0</v>
      </c>
    </row>
    <row r="48" spans="1:31" ht="12.75" customHeight="1">
      <c r="A48" s="249"/>
      <c r="B48" s="12"/>
      <c r="C48" s="103" t="s">
        <v>204</v>
      </c>
      <c r="D48" s="105"/>
      <c r="E48" s="17"/>
      <c r="F48" s="17"/>
      <c r="G48" s="17">
        <f>G41+G42+G43+G44+G45+G46+G47</f>
        <v>10996.92</v>
      </c>
      <c r="H48" s="17"/>
      <c r="I48" s="17">
        <f>I41+I42+I43+I44+I45+I46+I47</f>
        <v>342.32</v>
      </c>
    </row>
    <row r="49" spans="1:31" ht="12.75" customHeight="1">
      <c r="A49" s="249"/>
      <c r="B49" s="12"/>
      <c r="C49" s="82"/>
      <c r="D49" s="105"/>
      <c r="E49" s="17"/>
      <c r="F49" s="16"/>
      <c r="G49" s="17"/>
      <c r="H49" s="17"/>
      <c r="I49" s="17"/>
    </row>
    <row r="50" spans="1:31" ht="12.75" customHeight="1">
      <c r="A50" s="249"/>
      <c r="B50" s="12"/>
      <c r="C50" s="12" t="s">
        <v>12</v>
      </c>
      <c r="D50" s="12"/>
      <c r="E50" s="17"/>
      <c r="F50" s="16">
        <v>12</v>
      </c>
      <c r="G50" s="28">
        <f>IF($A$54=1,0,ROUND(I48/F50,2))</f>
        <v>28.53</v>
      </c>
      <c r="H50" s="17"/>
      <c r="I50" s="17"/>
    </row>
    <row r="51" spans="1:31" ht="12.75" customHeight="1">
      <c r="A51" s="249"/>
      <c r="B51" s="12"/>
      <c r="C51" s="82"/>
      <c r="D51" s="16"/>
      <c r="E51" s="17"/>
      <c r="F51" s="108"/>
      <c r="G51" s="17"/>
      <c r="H51" s="17"/>
      <c r="I51" s="17"/>
    </row>
    <row r="52" spans="1:31" ht="12.75" customHeight="1">
      <c r="A52" s="249"/>
      <c r="B52" s="12"/>
      <c r="C52" s="82"/>
      <c r="D52" s="16"/>
      <c r="E52" s="17"/>
      <c r="F52" s="16"/>
      <c r="G52" s="17"/>
      <c r="H52" s="17"/>
      <c r="I52" s="17"/>
    </row>
    <row r="53" spans="1:31" ht="12.75" customHeight="1">
      <c r="A53" s="1"/>
      <c r="B53" s="12"/>
      <c r="C53" s="128" t="s">
        <v>258</v>
      </c>
      <c r="D53" s="12"/>
      <c r="E53" s="181"/>
      <c r="F53" s="12"/>
      <c r="G53" s="28" t="s">
        <v>207</v>
      </c>
      <c r="H53" s="28" t="s">
        <v>259</v>
      </c>
      <c r="I53" s="28" t="s">
        <v>257</v>
      </c>
    </row>
    <row r="54" spans="1:31" ht="12.75" customHeight="1">
      <c r="A54" s="24">
        <v>0</v>
      </c>
      <c r="B54" s="12"/>
      <c r="C54" s="1" t="s">
        <v>250</v>
      </c>
      <c r="D54" s="3"/>
      <c r="E54" s="3"/>
      <c r="F54" s="1"/>
      <c r="G54" s="137">
        <f>IF(E38&lt;12000,E38,12000)</f>
        <v>10996.92</v>
      </c>
      <c r="H54" s="180">
        <v>0</v>
      </c>
      <c r="I54" s="137">
        <f>ROUND(G54*H54%,2)</f>
        <v>0</v>
      </c>
    </row>
    <row r="55" spans="1:31" ht="12.75" customHeight="1">
      <c r="A55" s="257" t="s">
        <v>44</v>
      </c>
      <c r="B55" s="12"/>
      <c r="C55" s="1" t="s">
        <v>251</v>
      </c>
      <c r="D55" s="3"/>
      <c r="E55" s="3"/>
      <c r="F55" s="1"/>
      <c r="G55" s="137">
        <f>IF(E38&lt;20000,E38-G54,8000)</f>
        <v>0</v>
      </c>
      <c r="H55" s="180">
        <v>2.2000000000000002</v>
      </c>
      <c r="I55" s="137">
        <f t="shared" ref="I55:I60" si="5">ROUND(G55*H55%,2)</f>
        <v>0</v>
      </c>
    </row>
    <row r="56" spans="1:31" ht="12.75" customHeight="1">
      <c r="A56" s="249"/>
      <c r="B56" s="12"/>
      <c r="C56" s="1" t="s">
        <v>252</v>
      </c>
      <c r="D56" s="3"/>
      <c r="E56" s="3"/>
      <c r="F56" s="1"/>
      <c r="G56" s="137">
        <f>IF(E38&lt;30000,E38-G54-G55,10000)</f>
        <v>0</v>
      </c>
      <c r="H56" s="180">
        <v>5</v>
      </c>
      <c r="I56" s="137">
        <f t="shared" si="5"/>
        <v>0</v>
      </c>
    </row>
    <row r="57" spans="1:31" ht="12.75" customHeight="1">
      <c r="A57" s="249"/>
      <c r="B57" s="12"/>
      <c r="C57" s="1" t="s">
        <v>253</v>
      </c>
      <c r="D57" s="3"/>
      <c r="E57" s="3"/>
      <c r="F57" s="1"/>
      <c r="G57" s="137">
        <f>IF(E38&lt;40000,E38-G54-G55-G56,10000)</f>
        <v>0</v>
      </c>
      <c r="H57" s="180">
        <v>6.5</v>
      </c>
      <c r="I57" s="137">
        <f t="shared" si="5"/>
        <v>0</v>
      </c>
    </row>
    <row r="58" spans="1:31" ht="12.75" customHeight="1">
      <c r="A58" s="249"/>
      <c r="B58" s="12"/>
      <c r="C58" s="1" t="s">
        <v>254</v>
      </c>
      <c r="D58" s="3"/>
      <c r="E58" s="3"/>
      <c r="F58" s="1"/>
      <c r="G58" s="137">
        <f>IF(E38&lt;65000,E38-G54-G55-G56-G57,25000)</f>
        <v>0</v>
      </c>
      <c r="H58" s="180">
        <v>7.5</v>
      </c>
      <c r="I58" s="137">
        <f t="shared" si="5"/>
        <v>0</v>
      </c>
    </row>
    <row r="59" spans="1:31" ht="12.75" customHeight="1">
      <c r="A59" s="249"/>
      <c r="B59" s="12"/>
      <c r="C59" s="1" t="s">
        <v>255</v>
      </c>
      <c r="D59" s="3"/>
      <c r="E59" s="3"/>
      <c r="F59" s="1"/>
      <c r="G59" s="137">
        <f>IF(E38&lt;220000,E38-G54-G55-G56-G57-G58,155000)</f>
        <v>0</v>
      </c>
      <c r="H59" s="180">
        <v>9</v>
      </c>
      <c r="I59" s="137">
        <f t="shared" si="5"/>
        <v>0</v>
      </c>
    </row>
    <row r="60" spans="1:31" ht="12.75" customHeight="1">
      <c r="A60" s="249"/>
      <c r="B60" s="12"/>
      <c r="C60" s="1" t="s">
        <v>256</v>
      </c>
      <c r="D60" s="3"/>
      <c r="E60" s="3"/>
      <c r="F60" s="1"/>
      <c r="G60" s="137">
        <f>IF(E38&gt;220000,E38-G54-G55-G56-G57-G58-G59,0)</f>
        <v>0</v>
      </c>
      <c r="H60" s="180">
        <v>10</v>
      </c>
      <c r="I60" s="137">
        <f t="shared" si="5"/>
        <v>0</v>
      </c>
      <c r="J60" s="156"/>
      <c r="K60" s="156"/>
      <c r="L60" s="156"/>
      <c r="M60" s="156"/>
      <c r="N60" s="156"/>
      <c r="O60" s="156"/>
      <c r="P60" s="155"/>
      <c r="Q60" s="155"/>
      <c r="R60" s="155"/>
      <c r="S60" s="11"/>
      <c r="T60" s="11"/>
      <c r="U60" s="11"/>
      <c r="V60" s="37"/>
      <c r="W60" s="11"/>
      <c r="X60" s="11"/>
      <c r="Y60" s="11"/>
      <c r="Z60" s="11"/>
      <c r="AA60" s="11"/>
      <c r="AB60" s="84"/>
      <c r="AC60" s="84"/>
      <c r="AD60" s="84"/>
      <c r="AE60" s="84"/>
    </row>
    <row r="61" spans="1:31" ht="12.75" customHeight="1">
      <c r="A61" s="249"/>
      <c r="B61" s="12"/>
      <c r="C61" s="1" t="s">
        <v>267</v>
      </c>
      <c r="D61" s="3"/>
      <c r="E61" s="3"/>
      <c r="F61" s="1"/>
      <c r="G61" s="4">
        <f>G54+G55+G56+G57+G58+G59+G60</f>
        <v>10996.92</v>
      </c>
      <c r="H61" s="3"/>
      <c r="I61" s="4">
        <f>I54+I55+I56+I57+I58+I59+I60</f>
        <v>0</v>
      </c>
      <c r="J61" s="156"/>
      <c r="K61" s="156"/>
      <c r="L61" s="156"/>
      <c r="M61" s="156"/>
      <c r="N61" s="156"/>
      <c r="O61" s="156"/>
      <c r="P61" s="155"/>
      <c r="Q61" s="155"/>
      <c r="R61" s="155"/>
      <c r="S61" s="11"/>
      <c r="T61" s="11"/>
      <c r="U61" s="11"/>
      <c r="V61" s="37"/>
      <c r="W61" s="11"/>
      <c r="X61" s="11"/>
      <c r="Y61" s="11"/>
      <c r="Z61" s="11"/>
      <c r="AA61" s="11"/>
      <c r="AB61" s="84"/>
      <c r="AC61" s="84"/>
      <c r="AD61" s="84"/>
      <c r="AE61" s="84"/>
    </row>
    <row r="62" spans="1:31" ht="12.75" customHeight="1">
      <c r="A62" s="249"/>
      <c r="B62" s="12"/>
      <c r="C62" s="34"/>
      <c r="D62" s="16"/>
      <c r="E62" s="16"/>
      <c r="F62" s="16"/>
      <c r="G62" s="16"/>
      <c r="H62" s="16"/>
      <c r="I62" s="16"/>
      <c r="J62" s="156"/>
      <c r="K62" s="156"/>
      <c r="L62" s="156"/>
      <c r="M62" s="156"/>
      <c r="N62" s="156"/>
      <c r="O62" s="156"/>
      <c r="P62" s="155"/>
      <c r="Q62" s="155"/>
      <c r="R62" s="155"/>
      <c r="S62" s="11"/>
      <c r="T62" s="11"/>
      <c r="U62" s="11"/>
      <c r="V62" s="37"/>
      <c r="W62" s="11"/>
      <c r="X62" s="11"/>
      <c r="Y62" s="11"/>
      <c r="Z62" s="11"/>
      <c r="AA62" s="11"/>
      <c r="AB62" s="84"/>
      <c r="AC62" s="84"/>
      <c r="AD62" s="84"/>
      <c r="AE62" s="84"/>
    </row>
    <row r="63" spans="1:31" ht="12.75" customHeight="1">
      <c r="A63" s="249"/>
      <c r="B63" s="12"/>
      <c r="C63" s="126" t="s">
        <v>249</v>
      </c>
      <c r="D63" s="12"/>
      <c r="E63" s="17"/>
      <c r="F63" s="16">
        <v>12</v>
      </c>
      <c r="G63" s="28">
        <f>IF($A$54=1,0,ROUND(I61/F63,2))</f>
        <v>0</v>
      </c>
      <c r="H63" s="17"/>
      <c r="I63" s="17"/>
      <c r="J63" s="156"/>
      <c r="K63" s="156"/>
      <c r="L63" s="156"/>
      <c r="M63" s="156"/>
      <c r="N63" s="156"/>
      <c r="O63" s="156"/>
      <c r="P63" s="155"/>
      <c r="Q63" s="155"/>
      <c r="R63" s="155"/>
      <c r="S63" s="11"/>
      <c r="T63" s="11"/>
      <c r="U63" s="11"/>
      <c r="V63" s="37"/>
      <c r="W63" s="11"/>
      <c r="X63" s="11"/>
      <c r="Y63" s="11"/>
      <c r="Z63" s="11"/>
      <c r="AA63" s="11"/>
      <c r="AB63" s="84"/>
      <c r="AC63" s="84"/>
      <c r="AD63" s="84"/>
      <c r="AE63" s="84"/>
    </row>
    <row r="64" spans="1:31" ht="12.75" customHeight="1">
      <c r="A64" s="249"/>
      <c r="B64" s="12"/>
      <c r="C64" s="1"/>
      <c r="D64" s="1"/>
      <c r="E64" s="1"/>
      <c r="F64" s="1"/>
      <c r="G64" s="1"/>
      <c r="H64" s="1"/>
      <c r="I64" s="1"/>
      <c r="J64" s="156"/>
      <c r="K64" s="156"/>
      <c r="L64" s="156"/>
      <c r="M64" s="156"/>
      <c r="N64" s="156"/>
      <c r="O64" s="156"/>
      <c r="P64" s="155"/>
      <c r="Q64" s="155"/>
      <c r="R64" s="155"/>
      <c r="S64" s="11"/>
      <c r="T64" s="11"/>
      <c r="U64" s="11"/>
      <c r="V64" s="37"/>
      <c r="W64" s="11"/>
      <c r="X64" s="11"/>
      <c r="Y64" s="11"/>
      <c r="Z64" s="11"/>
      <c r="AA64" s="11"/>
      <c r="AB64" s="84"/>
      <c r="AC64" s="84"/>
      <c r="AD64" s="84"/>
      <c r="AE64" s="84"/>
    </row>
    <row r="65" spans="1:31" ht="12.75" customHeight="1">
      <c r="A65" s="10"/>
      <c r="B65" s="12"/>
      <c r="C65" s="258"/>
      <c r="D65" s="258"/>
      <c r="E65" s="258"/>
      <c r="F65" s="235"/>
      <c r="G65" s="235"/>
      <c r="H65" s="235"/>
      <c r="I65" s="235"/>
      <c r="J65" s="156"/>
      <c r="K65" s="156"/>
      <c r="L65" s="156"/>
      <c r="M65" s="156"/>
      <c r="N65" s="156"/>
      <c r="O65" s="156"/>
      <c r="P65" s="155"/>
      <c r="Q65" s="155"/>
      <c r="R65" s="155"/>
      <c r="S65" s="11"/>
      <c r="T65" s="11"/>
      <c r="U65" s="11"/>
      <c r="V65" s="37"/>
      <c r="W65" s="11"/>
      <c r="X65" s="11"/>
      <c r="Y65" s="11"/>
      <c r="Z65" s="11"/>
      <c r="AA65" s="11"/>
      <c r="AB65" s="84"/>
      <c r="AC65" s="84"/>
      <c r="AD65" s="84"/>
      <c r="AE65" s="84"/>
    </row>
    <row r="66" spans="1:31" ht="24" customHeight="1">
      <c r="A66" s="25"/>
      <c r="B66" s="265" t="s">
        <v>90</v>
      </c>
      <c r="C66" s="266"/>
      <c r="D66" s="266"/>
      <c r="E66" s="267"/>
      <c r="F66" s="259"/>
      <c r="G66" s="260"/>
      <c r="H66" s="260"/>
      <c r="I66" s="260"/>
      <c r="J66" s="156"/>
      <c r="K66" s="156"/>
      <c r="L66" s="156"/>
      <c r="M66" s="156"/>
      <c r="N66" s="156"/>
      <c r="O66" s="156"/>
      <c r="P66" s="11"/>
      <c r="Q66" s="11"/>
      <c r="R66" s="11"/>
      <c r="S66" s="11"/>
      <c r="T66" s="11"/>
      <c r="U66" s="11"/>
      <c r="V66" s="37"/>
      <c r="W66" s="11"/>
      <c r="X66" s="11"/>
      <c r="Y66" s="11"/>
      <c r="Z66" s="11"/>
      <c r="AA66" s="11"/>
      <c r="AB66" s="37"/>
      <c r="AC66" s="84"/>
      <c r="AD66" s="84"/>
      <c r="AE66" s="84"/>
    </row>
    <row r="67" spans="1:31" ht="24" customHeight="1">
      <c r="A67" s="25"/>
      <c r="B67" s="265" t="s">
        <v>125</v>
      </c>
      <c r="C67" s="266"/>
      <c r="D67" s="266"/>
      <c r="E67" s="267"/>
      <c r="F67" s="259"/>
      <c r="G67" s="260"/>
      <c r="H67" s="260"/>
      <c r="I67" s="260"/>
      <c r="J67" s="175"/>
      <c r="K67" s="175"/>
      <c r="L67" s="175"/>
      <c r="M67" s="175"/>
      <c r="N67" s="175"/>
      <c r="O67" s="175"/>
      <c r="P67" s="14"/>
      <c r="Q67" s="14"/>
      <c r="R67" s="14"/>
      <c r="S67" s="14"/>
      <c r="T67" s="14"/>
      <c r="U67" s="14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1:31" ht="24" customHeight="1">
      <c r="A68" s="25"/>
      <c r="B68" s="265" t="s">
        <v>46</v>
      </c>
      <c r="C68" s="266"/>
      <c r="D68" s="266"/>
      <c r="E68" s="267"/>
      <c r="F68" s="259"/>
      <c r="G68" s="260"/>
      <c r="H68" s="260"/>
      <c r="I68" s="260"/>
      <c r="J68" s="175"/>
      <c r="K68" s="175"/>
      <c r="L68" s="175"/>
      <c r="M68" s="175"/>
      <c r="N68" s="175"/>
      <c r="O68" s="175"/>
      <c r="P68" s="14"/>
      <c r="Q68" s="14"/>
      <c r="R68" s="14"/>
      <c r="S68" s="14"/>
      <c r="T68" s="14"/>
      <c r="U68" s="14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1:31" ht="24" customHeight="1">
      <c r="A69" s="25"/>
      <c r="B69" s="253" t="s">
        <v>35</v>
      </c>
      <c r="C69" s="253"/>
      <c r="D69" s="253"/>
      <c r="E69" s="253"/>
      <c r="F69" s="253"/>
      <c r="G69" s="253"/>
      <c r="H69" s="253"/>
      <c r="I69" s="253"/>
      <c r="J69" s="261" t="s">
        <v>205</v>
      </c>
      <c r="K69" s="262"/>
      <c r="L69" s="337" t="s">
        <v>191</v>
      </c>
      <c r="M69" s="338"/>
      <c r="N69" s="338"/>
      <c r="O69" s="338"/>
      <c r="P69" s="338"/>
      <c r="Q69" s="339"/>
      <c r="U69" s="14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1:31" ht="12.75" customHeight="1">
      <c r="A70" s="25"/>
      <c r="B70" s="12"/>
      <c r="C70" s="12" t="s">
        <v>38</v>
      </c>
      <c r="D70" s="20" t="s">
        <v>167</v>
      </c>
      <c r="E70" s="12" t="s">
        <v>0</v>
      </c>
      <c r="F70" s="269" t="s">
        <v>37</v>
      </c>
      <c r="G70" s="269"/>
      <c r="H70" s="28" t="s">
        <v>10</v>
      </c>
      <c r="I70" s="28" t="s">
        <v>11</v>
      </c>
      <c r="J70" s="274" t="s">
        <v>92</v>
      </c>
      <c r="K70" s="276" t="s">
        <v>94</v>
      </c>
      <c r="L70" s="331" t="s">
        <v>177</v>
      </c>
      <c r="M70" s="330" t="s">
        <v>178</v>
      </c>
      <c r="N70" s="341"/>
      <c r="O70" s="340" t="s">
        <v>194</v>
      </c>
      <c r="P70" s="340"/>
      <c r="Q70" s="340"/>
      <c r="U70" s="14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1:31" ht="12.75" customHeight="1">
      <c r="A71" s="25"/>
      <c r="B71" s="12" t="s">
        <v>3</v>
      </c>
      <c r="C71" s="82" t="s">
        <v>169</v>
      </c>
      <c r="D71" s="16">
        <f>D5</f>
        <v>1</v>
      </c>
      <c r="E71" s="17">
        <f>ROUND((E5+E6+E7+E8+E9+E10+E11+E12+E13+E14)*A84/30,2)</f>
        <v>1092</v>
      </c>
      <c r="F71" s="268" t="s">
        <v>56</v>
      </c>
      <c r="G71" s="268"/>
      <c r="H71" s="17"/>
      <c r="I71" s="94">
        <f>ROUND(G50*A84/30,2)</f>
        <v>28.53</v>
      </c>
      <c r="J71" s="275"/>
      <c r="K71" s="277"/>
      <c r="L71" s="331"/>
      <c r="M71" s="330"/>
      <c r="N71" s="341"/>
      <c r="O71" s="141" t="s">
        <v>192</v>
      </c>
      <c r="P71" s="141" t="s">
        <v>193</v>
      </c>
      <c r="Q71" s="140" t="s">
        <v>2</v>
      </c>
      <c r="U71" s="14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 spans="1:31" ht="12.75" customHeight="1">
      <c r="A72" s="25"/>
      <c r="B72" s="12" t="s">
        <v>4</v>
      </c>
      <c r="C72" s="82" t="s">
        <v>243</v>
      </c>
      <c r="D72" s="1"/>
      <c r="E72" s="17">
        <f>ROUND(E15*A84/30,2)</f>
        <v>0</v>
      </c>
      <c r="F72" s="263" t="s">
        <v>124</v>
      </c>
      <c r="G72" s="263"/>
      <c r="H72" s="17">
        <v>1</v>
      </c>
      <c r="I72" s="17">
        <f>ROUND((E71+E72+E73+E74+E75+E76)*H72%,2)</f>
        <v>10.92</v>
      </c>
      <c r="J72" s="275"/>
      <c r="K72" s="277"/>
      <c r="L72" s="330" t="s">
        <v>306</v>
      </c>
      <c r="M72" s="331" t="s">
        <v>274</v>
      </c>
      <c r="N72" s="332"/>
      <c r="O72" s="139">
        <v>2.15</v>
      </c>
      <c r="P72" s="139">
        <v>4.3</v>
      </c>
      <c r="Q72" s="142">
        <f>SUM(O72:P72)</f>
        <v>6.4499999999999993</v>
      </c>
      <c r="W72" s="15"/>
      <c r="X72" s="15"/>
      <c r="Y72" s="15"/>
      <c r="Z72" s="15"/>
      <c r="AA72" s="15"/>
      <c r="AB72" s="15"/>
      <c r="AC72" s="15"/>
      <c r="AD72" s="15"/>
      <c r="AE72" s="15"/>
    </row>
    <row r="73" spans="1:31" ht="12.75" customHeight="1">
      <c r="A73" s="25"/>
      <c r="B73" s="12" t="s">
        <v>5</v>
      </c>
      <c r="C73" s="82" t="s">
        <v>59</v>
      </c>
      <c r="D73" s="16"/>
      <c r="E73" s="17">
        <f>ROUND((E16+E17)*A84/30,2)</f>
        <v>0</v>
      </c>
      <c r="F73" s="263" t="s">
        <v>176</v>
      </c>
      <c r="G73" s="263"/>
      <c r="H73" s="17"/>
      <c r="I73" s="17">
        <f>H22</f>
        <v>0</v>
      </c>
      <c r="J73" s="275"/>
      <c r="K73" s="277"/>
      <c r="L73" s="330"/>
      <c r="M73" s="331" t="s">
        <v>275</v>
      </c>
      <c r="N73" s="332"/>
      <c r="O73" s="139">
        <v>0.4</v>
      </c>
      <c r="P73" s="139">
        <v>0.25</v>
      </c>
      <c r="Q73" s="142">
        <f>SUM(O73:P73)</f>
        <v>0.65</v>
      </c>
      <c r="W73" s="15"/>
      <c r="X73" s="15"/>
      <c r="Y73" s="15"/>
      <c r="Z73" s="15"/>
      <c r="AA73" s="15"/>
      <c r="AB73" s="15"/>
      <c r="AC73" s="15"/>
      <c r="AD73" s="15"/>
      <c r="AE73" s="15"/>
    </row>
    <row r="74" spans="1:31" ht="12.75" customHeight="1">
      <c r="A74" s="25"/>
      <c r="B74" s="12" t="s">
        <v>6</v>
      </c>
      <c r="C74" s="82" t="s">
        <v>58</v>
      </c>
      <c r="D74" s="111"/>
      <c r="E74" s="17">
        <f>ROUND((E18+E19)*A84/30,2)</f>
        <v>0</v>
      </c>
      <c r="F74" s="263" t="s">
        <v>43</v>
      </c>
      <c r="G74" s="263"/>
      <c r="H74" s="17"/>
      <c r="I74" s="17">
        <f>H23</f>
        <v>0</v>
      </c>
      <c r="J74" s="255" t="s">
        <v>93</v>
      </c>
      <c r="K74" s="256">
        <v>30</v>
      </c>
      <c r="L74" s="330"/>
      <c r="M74" s="331" t="s">
        <v>187</v>
      </c>
      <c r="N74" s="332"/>
      <c r="O74" s="139">
        <v>6.67</v>
      </c>
      <c r="P74" s="139">
        <v>13.33</v>
      </c>
      <c r="Q74" s="142">
        <f t="shared" ref="Q74:Q82" si="6">SUM(O74:P74)</f>
        <v>20</v>
      </c>
      <c r="W74" s="15"/>
      <c r="X74" s="15"/>
      <c r="Y74" s="15"/>
      <c r="Z74" s="15"/>
      <c r="AA74" s="15"/>
      <c r="AB74" s="15"/>
      <c r="AC74" s="15"/>
      <c r="AD74" s="15"/>
      <c r="AE74" s="15"/>
    </row>
    <row r="75" spans="1:31" ht="12.75" customHeight="1">
      <c r="A75" s="25"/>
      <c r="B75" s="12" t="s">
        <v>7</v>
      </c>
      <c r="C75" s="82" t="s">
        <v>114</v>
      </c>
      <c r="D75" s="16"/>
      <c r="E75" s="17">
        <f>ROUND(E20*A84/30,2)</f>
        <v>0</v>
      </c>
      <c r="F75" s="263" t="s">
        <v>42</v>
      </c>
      <c r="G75" s="263"/>
      <c r="H75" s="17"/>
      <c r="I75" s="17">
        <v>0</v>
      </c>
      <c r="J75" s="255"/>
      <c r="K75" s="256"/>
      <c r="L75" s="330"/>
      <c r="M75" s="331" t="s">
        <v>290</v>
      </c>
      <c r="N75" s="332"/>
      <c r="O75" s="139">
        <v>3</v>
      </c>
      <c r="P75" s="139">
        <v>3</v>
      </c>
      <c r="Q75" s="142">
        <f t="shared" si="6"/>
        <v>6</v>
      </c>
      <c r="U75" s="14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 spans="1:31" ht="12.75" customHeight="1">
      <c r="A76" s="25"/>
      <c r="B76" s="12" t="s">
        <v>5</v>
      </c>
      <c r="C76" s="1" t="s">
        <v>172</v>
      </c>
      <c r="D76" s="1"/>
      <c r="E76" s="17">
        <f>ROUND(E21*A84/30,2)</f>
        <v>0</v>
      </c>
      <c r="F76" s="263" t="s">
        <v>174</v>
      </c>
      <c r="G76" s="263"/>
      <c r="H76" s="17"/>
      <c r="I76" s="17">
        <f>ROUND(G63*A84/30,2)</f>
        <v>0</v>
      </c>
      <c r="J76" s="255" t="s">
        <v>91</v>
      </c>
      <c r="K76" s="254">
        <f>ROUND(((E80)*30/K74)/25,2)</f>
        <v>43.68</v>
      </c>
      <c r="L76" s="330" t="s">
        <v>180</v>
      </c>
      <c r="M76" s="331" t="s">
        <v>181</v>
      </c>
      <c r="N76" s="332"/>
      <c r="O76" s="139">
        <v>1.56</v>
      </c>
      <c r="P76" s="139">
        <v>2.69</v>
      </c>
      <c r="Q76" s="142">
        <f t="shared" si="6"/>
        <v>4.25</v>
      </c>
      <c r="U76" s="14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 spans="1:31" ht="12.75" customHeight="1">
      <c r="A77" s="25"/>
      <c r="B77" s="34"/>
      <c r="C77" s="82" t="s">
        <v>294</v>
      </c>
      <c r="D77" s="16"/>
      <c r="E77" s="99">
        <f>I77</f>
        <v>262.95</v>
      </c>
      <c r="F77" s="263" t="s">
        <v>312</v>
      </c>
      <c r="G77" s="263"/>
      <c r="H77" s="17">
        <v>24.08</v>
      </c>
      <c r="I77" s="17">
        <f>ROUND((E71+E72+E73+E74+E75+E76)*H77%,2)</f>
        <v>262.95</v>
      </c>
      <c r="J77" s="255"/>
      <c r="K77" s="254"/>
      <c r="L77" s="330"/>
      <c r="M77" s="331" t="s">
        <v>182</v>
      </c>
      <c r="N77" s="332"/>
      <c r="O77" s="139" t="s">
        <v>179</v>
      </c>
      <c r="P77" s="139" t="s">
        <v>179</v>
      </c>
      <c r="Q77" s="142">
        <f t="shared" si="6"/>
        <v>0</v>
      </c>
      <c r="U77" s="14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1:31" ht="12.75" customHeight="1">
      <c r="A78" s="25"/>
      <c r="B78" s="34"/>
      <c r="C78" s="131"/>
      <c r="D78" s="131"/>
      <c r="E78" s="99"/>
      <c r="F78" s="263" t="s">
        <v>313</v>
      </c>
      <c r="G78" s="263"/>
      <c r="H78" s="17">
        <v>15.08</v>
      </c>
      <c r="I78" s="17">
        <f>ROUND((E71+E72+E73+E74+E75+E76)*H78%,2)</f>
        <v>164.67</v>
      </c>
      <c r="J78" s="157" t="s">
        <v>107</v>
      </c>
      <c r="K78" s="24" t="s">
        <v>96</v>
      </c>
      <c r="L78" s="330"/>
      <c r="M78" s="331" t="s">
        <v>188</v>
      </c>
      <c r="N78" s="332"/>
      <c r="O78" s="139" t="s">
        <v>179</v>
      </c>
      <c r="P78" s="139" t="s">
        <v>179</v>
      </c>
      <c r="Q78" s="142">
        <f t="shared" si="6"/>
        <v>0</v>
      </c>
      <c r="U78" s="14"/>
      <c r="V78" s="15"/>
      <c r="W78" s="15"/>
      <c r="X78" s="15"/>
      <c r="Y78" s="15"/>
      <c r="Z78" s="15"/>
      <c r="AA78" s="15"/>
      <c r="AB78" s="15"/>
      <c r="AC78" s="15"/>
      <c r="AD78" s="15"/>
      <c r="AE78" s="15"/>
    </row>
    <row r="79" spans="1:31" ht="12.75" customHeight="1">
      <c r="A79" s="25"/>
      <c r="B79" s="12"/>
      <c r="C79" s="82"/>
      <c r="D79" s="16"/>
      <c r="E79" s="17"/>
      <c r="F79" s="263" t="s">
        <v>314</v>
      </c>
      <c r="G79" s="263"/>
      <c r="H79" s="17">
        <f>H77+H78</f>
        <v>39.159999999999997</v>
      </c>
      <c r="I79" s="17">
        <f>I77+I78</f>
        <v>427.62</v>
      </c>
      <c r="J79" s="175"/>
      <c r="K79" s="175"/>
      <c r="L79" s="330"/>
      <c r="M79" s="331" t="s">
        <v>189</v>
      </c>
      <c r="N79" s="332"/>
      <c r="O79" s="139" t="s">
        <v>179</v>
      </c>
      <c r="P79" s="139">
        <v>0.15</v>
      </c>
      <c r="Q79" s="142">
        <f t="shared" si="6"/>
        <v>0.15</v>
      </c>
      <c r="U79" s="14"/>
      <c r="V79" s="15"/>
      <c r="W79" s="15"/>
      <c r="X79" s="15"/>
      <c r="Y79" s="15"/>
      <c r="Z79" s="15"/>
      <c r="AA79" s="15"/>
      <c r="AB79" s="15"/>
      <c r="AC79" s="15"/>
      <c r="AD79" s="15"/>
      <c r="AE79" s="15"/>
    </row>
    <row r="80" spans="1:31" ht="12.75" customHeight="1">
      <c r="A80" s="25"/>
      <c r="B80" s="12"/>
      <c r="C80" s="82" t="s">
        <v>47</v>
      </c>
      <c r="D80" s="16"/>
      <c r="E80" s="99">
        <f>E71+E72+E73+E74+E75+E76</f>
        <v>1092</v>
      </c>
      <c r="F80" s="263" t="s">
        <v>48</v>
      </c>
      <c r="G80" s="263"/>
      <c r="H80" s="234"/>
      <c r="I80" s="99">
        <f>I71+I72+I73+I74+I75+I76+I78</f>
        <v>204.12</v>
      </c>
      <c r="J80" s="177"/>
      <c r="K80" s="175"/>
      <c r="L80" s="330"/>
      <c r="M80" s="336" t="s">
        <v>190</v>
      </c>
      <c r="N80" s="332"/>
      <c r="O80" s="139">
        <v>0.1</v>
      </c>
      <c r="P80" s="139">
        <v>0.36</v>
      </c>
      <c r="Q80" s="142">
        <f t="shared" si="6"/>
        <v>0.45999999999999996</v>
      </c>
      <c r="U80" s="14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1:31" ht="12.75" customHeight="1">
      <c r="A81" s="25"/>
      <c r="B81" s="12"/>
      <c r="C81" s="82"/>
      <c r="D81" s="16"/>
      <c r="E81" s="17"/>
      <c r="F81" s="263"/>
      <c r="G81" s="263"/>
      <c r="H81" s="263"/>
      <c r="I81" s="17"/>
      <c r="J81" s="177"/>
      <c r="K81" s="178"/>
      <c r="L81" s="220" t="s">
        <v>183</v>
      </c>
      <c r="M81" s="335" t="s">
        <v>184</v>
      </c>
      <c r="N81" s="334"/>
      <c r="O81" s="139">
        <v>0.85</v>
      </c>
      <c r="P81" s="139" t="s">
        <v>179</v>
      </c>
      <c r="Q81" s="142">
        <f t="shared" si="6"/>
        <v>0.85</v>
      </c>
      <c r="AA81" s="15"/>
      <c r="AB81" s="15"/>
      <c r="AC81" s="15"/>
      <c r="AD81" s="15"/>
      <c r="AE81" s="15"/>
    </row>
    <row r="82" spans="1:31" ht="12.75" customHeight="1">
      <c r="A82" s="25"/>
      <c r="B82" s="12"/>
      <c r="C82" s="82" t="s">
        <v>47</v>
      </c>
      <c r="D82" s="16"/>
      <c r="E82" s="17">
        <f>E80</f>
        <v>1092</v>
      </c>
      <c r="F82" s="263"/>
      <c r="G82" s="263"/>
      <c r="H82" s="263"/>
      <c r="I82" s="17"/>
      <c r="J82" s="177"/>
      <c r="K82" s="178"/>
      <c r="L82" s="220" t="s">
        <v>185</v>
      </c>
      <c r="M82" s="335" t="s">
        <v>186</v>
      </c>
      <c r="N82" s="334"/>
      <c r="O82" s="139">
        <v>0.35</v>
      </c>
      <c r="P82" s="139" t="s">
        <v>179</v>
      </c>
      <c r="Q82" s="142">
        <f t="shared" si="6"/>
        <v>0.35</v>
      </c>
      <c r="U82" s="8"/>
      <c r="V82" s="5"/>
      <c r="W82" s="5"/>
      <c r="X82" s="5"/>
      <c r="Y82" s="5"/>
      <c r="Z82" s="5"/>
      <c r="AA82" s="84"/>
      <c r="AB82" s="15"/>
      <c r="AC82" s="15"/>
      <c r="AD82" s="15"/>
      <c r="AE82" s="15"/>
    </row>
    <row r="83" spans="1:31" ht="12.75" customHeight="1">
      <c r="A83" s="25"/>
      <c r="B83" s="12"/>
      <c r="C83" s="82" t="s">
        <v>48</v>
      </c>
      <c r="D83" s="16"/>
      <c r="E83" s="17">
        <f>I80</f>
        <v>204.12</v>
      </c>
      <c r="F83" s="268"/>
      <c r="G83" s="268"/>
      <c r="H83" s="268"/>
      <c r="I83" s="17"/>
      <c r="J83" s="177"/>
      <c r="K83" s="178"/>
      <c r="L83" s="221" t="s">
        <v>2</v>
      </c>
      <c r="M83" s="333" t="s">
        <v>194</v>
      </c>
      <c r="N83" s="334"/>
      <c r="O83" s="229">
        <f>SUM(O72:O82)</f>
        <v>15.079999999999998</v>
      </c>
      <c r="P83" s="229">
        <f>SUM(P72:P82)</f>
        <v>24.08</v>
      </c>
      <c r="Q83" s="229">
        <f>SUM(Q72:Q82)</f>
        <v>39.160000000000004</v>
      </c>
      <c r="AB83" s="15"/>
      <c r="AC83" s="15"/>
      <c r="AD83" s="15"/>
      <c r="AE83" s="15"/>
    </row>
    <row r="84" spans="1:31" ht="12.75" customHeight="1">
      <c r="A84" s="26">
        <v>30</v>
      </c>
      <c r="B84" s="12"/>
      <c r="C84" s="110" t="s">
        <v>50</v>
      </c>
      <c r="D84" s="16"/>
      <c r="E84" s="28">
        <f>E82-E83</f>
        <v>887.88</v>
      </c>
      <c r="F84" s="278" t="s">
        <v>271</v>
      </c>
      <c r="G84" s="278"/>
      <c r="H84" s="278"/>
      <c r="I84" s="99">
        <f>ROUND((80%*2*(E71+E72+E73+E74+E75+E76)/30*(J84/30)),2)</f>
        <v>0</v>
      </c>
      <c r="J84" s="217">
        <v>0</v>
      </c>
      <c r="K84" s="178"/>
      <c r="L84" s="178"/>
      <c r="M84" s="178"/>
      <c r="N84" s="223"/>
      <c r="O84" s="223"/>
      <c r="AB84" s="15"/>
      <c r="AC84" s="15"/>
      <c r="AD84" s="15"/>
      <c r="AE84" s="15"/>
    </row>
    <row r="85" spans="1:31" ht="12.75" customHeight="1">
      <c r="A85" s="25"/>
      <c r="B85" s="151"/>
      <c r="C85" s="151"/>
      <c r="D85" s="151"/>
      <c r="E85" s="151"/>
      <c r="F85" s="151"/>
      <c r="G85" s="151"/>
      <c r="H85" s="151"/>
      <c r="I85" s="151"/>
      <c r="J85" s="177"/>
      <c r="K85" s="177"/>
      <c r="L85" s="177"/>
      <c r="M85" s="177"/>
      <c r="N85" s="114"/>
      <c r="O85" s="223"/>
      <c r="U85" s="14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1:31" ht="11.25" customHeight="1">
      <c r="A86" s="7"/>
      <c r="B86" s="84"/>
      <c r="C86" s="84"/>
      <c r="D86" s="11"/>
      <c r="E86" s="11"/>
      <c r="F86" s="84"/>
      <c r="G86" s="84"/>
      <c r="H86" s="84"/>
      <c r="I86" s="84"/>
      <c r="J86" s="177"/>
      <c r="K86" s="177"/>
      <c r="L86" s="177"/>
      <c r="M86" s="177"/>
      <c r="N86" s="114"/>
      <c r="O86" s="223"/>
      <c r="U86" s="14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 spans="1:31" ht="12.75" customHeight="1">
      <c r="A87" s="7"/>
      <c r="B87" s="84"/>
      <c r="C87" s="84"/>
      <c r="D87" s="132" t="str">
        <f>'ΜΙΣΘΟΔΟΣΙΑ ΜΟΝΙΜΩΝ'!D102</f>
        <v>Βασίλειος Ι. Χουλιάρας</v>
      </c>
      <c r="E87" s="132"/>
      <c r="F87" s="84"/>
      <c r="G87" s="84"/>
      <c r="H87" s="84"/>
      <c r="I87" s="84"/>
      <c r="J87" s="177"/>
      <c r="K87" s="177"/>
      <c r="L87" s="177"/>
      <c r="M87" s="177"/>
      <c r="N87" s="114"/>
      <c r="O87" s="223"/>
      <c r="U87" s="14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1:31" ht="12.75" customHeight="1">
      <c r="A88" s="7"/>
      <c r="B88" s="84"/>
      <c r="C88" s="84"/>
      <c r="D88" s="132" t="str">
        <f>'ΜΙΣΘΟΔΟΣΙΑ ΜΟΝΙΜΩΝ'!D103</f>
        <v>ΠΕ 03 - Μαθηματικός</v>
      </c>
      <c r="E88" s="132"/>
      <c r="F88" s="84"/>
      <c r="G88" s="84"/>
      <c r="H88" s="84"/>
      <c r="I88" s="84"/>
      <c r="J88" s="177"/>
      <c r="K88" s="177"/>
      <c r="L88" s="177"/>
      <c r="M88" s="177"/>
      <c r="N88" s="114"/>
      <c r="O88" s="223"/>
      <c r="U88" s="14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1:31" ht="12.75" customHeight="1">
      <c r="A89" s="7"/>
      <c r="B89" s="84"/>
      <c r="C89" s="84"/>
      <c r="D89" s="132" t="str">
        <f>'ΜΙΣΘΟΔΟΣΙΑ ΜΟΝΙΜΩΝ'!D104</f>
        <v>Υ/Δντής 1ου Γενικού Λυκείου Αγρινίου</v>
      </c>
      <c r="E89" s="132"/>
      <c r="F89" s="84"/>
      <c r="G89" s="84"/>
      <c r="H89" s="84"/>
      <c r="I89" s="84"/>
      <c r="J89" s="177"/>
      <c r="K89" s="177"/>
      <c r="L89" s="177"/>
      <c r="M89" s="177"/>
      <c r="N89" s="114"/>
      <c r="O89" s="223"/>
      <c r="U89" s="14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 spans="1:31" ht="12.75" customHeight="1">
      <c r="A90" s="7"/>
      <c r="B90" s="84"/>
      <c r="C90" s="84"/>
      <c r="D90" s="132"/>
      <c r="E90" s="132"/>
      <c r="F90" s="84"/>
      <c r="G90" s="84"/>
      <c r="H90" s="84"/>
      <c r="I90" s="84"/>
      <c r="J90" s="177"/>
      <c r="K90" s="177"/>
      <c r="L90" s="177"/>
      <c r="M90" s="177"/>
      <c r="N90" s="114"/>
      <c r="O90" s="223"/>
      <c r="U90" s="14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spans="1:31" ht="12.75" customHeight="1">
      <c r="A91" s="7"/>
      <c r="B91" s="5"/>
      <c r="C91" s="5"/>
      <c r="D91" s="132" t="str">
        <f>'ΜΙΣΘΟΔΟΣΙΑ ΜΟΝΙΜΩΝ'!D106</f>
        <v>Για πληροφορίες, ερωτήματα, σχόλια</v>
      </c>
      <c r="E91" s="133"/>
      <c r="F91" s="5"/>
      <c r="G91" s="5"/>
      <c r="H91" s="5"/>
      <c r="I91" s="5"/>
      <c r="J91" s="177"/>
      <c r="K91" s="171"/>
      <c r="L91" s="171"/>
      <c r="M91" s="171"/>
      <c r="N91" s="113"/>
      <c r="O91" s="223"/>
      <c r="U91" s="11"/>
      <c r="V91" s="84"/>
      <c r="W91" s="84"/>
      <c r="X91" s="15"/>
      <c r="Y91" s="15"/>
      <c r="Z91" s="15"/>
      <c r="AA91" s="15"/>
      <c r="AB91" s="15"/>
      <c r="AC91" s="15"/>
      <c r="AD91" s="15"/>
      <c r="AE91" s="15"/>
    </row>
    <row r="92" spans="1:31" ht="12.75" customHeight="1">
      <c r="A92" s="7"/>
      <c r="B92" s="5"/>
      <c r="C92" s="5"/>
      <c r="D92" s="132" t="str">
        <f>'ΜΙΣΘΟΔΟΣΙΑ ΜΟΝΙΜΩΝ'!D107</f>
        <v>και παρατηρήσεις επικοινωνήστε:</v>
      </c>
      <c r="E92" s="133"/>
      <c r="F92" s="5"/>
      <c r="G92" s="5"/>
      <c r="H92" s="5"/>
      <c r="I92" s="5"/>
      <c r="J92" s="177"/>
      <c r="K92" s="38"/>
      <c r="L92" s="38"/>
      <c r="M92" s="38"/>
      <c r="N92" s="38"/>
      <c r="O92" s="223"/>
      <c r="U92" s="38"/>
      <c r="V92" s="84"/>
      <c r="W92" s="84"/>
      <c r="X92" s="15"/>
      <c r="Y92" s="15"/>
      <c r="Z92" s="15"/>
      <c r="AA92" s="15"/>
      <c r="AB92" s="15"/>
      <c r="AC92" s="15"/>
      <c r="AD92" s="15"/>
      <c r="AE92" s="15"/>
    </row>
    <row r="93" spans="1:31" ht="12.75" customHeight="1">
      <c r="A93" s="7"/>
      <c r="B93" s="5"/>
      <c r="C93" s="5"/>
      <c r="D93" s="132" t="str">
        <f>'ΜΙΣΘΟΔΟΣΙΑ ΜΟΝΙΜΩΝ'!D108</f>
        <v>e-mail: choulvas@sch.gr</v>
      </c>
      <c r="E93" s="133"/>
      <c r="F93" s="5"/>
      <c r="G93" s="5"/>
      <c r="H93" s="5"/>
      <c r="I93" s="5"/>
      <c r="J93" s="177"/>
      <c r="K93" s="171"/>
      <c r="L93" s="171"/>
      <c r="M93" s="171"/>
      <c r="N93" s="113"/>
      <c r="O93" s="223"/>
      <c r="U93" s="11"/>
      <c r="V93" s="84"/>
      <c r="W93" s="84"/>
      <c r="X93" s="15"/>
      <c r="Y93" s="15"/>
      <c r="Z93" s="15"/>
      <c r="AA93" s="15"/>
      <c r="AB93" s="15"/>
      <c r="AC93" s="15"/>
      <c r="AD93" s="15"/>
      <c r="AE93" s="15"/>
    </row>
    <row r="94" spans="1:31" ht="12.75" customHeight="1">
      <c r="A94" s="7"/>
      <c r="B94" s="5"/>
      <c r="C94" s="5"/>
      <c r="D94" s="132" t="str">
        <f>'ΜΙΣΘΟΔΟΣΙΑ ΜΟΝΙΜΩΝ'!D109</f>
        <v>τηλ.: 6976285698</v>
      </c>
      <c r="E94" s="133"/>
      <c r="F94" s="5"/>
      <c r="G94" s="5"/>
      <c r="H94" s="5"/>
      <c r="I94" s="5"/>
      <c r="J94" s="177"/>
      <c r="K94" s="178"/>
      <c r="L94" s="178"/>
      <c r="M94" s="178"/>
      <c r="N94" s="223"/>
      <c r="O94" s="223"/>
    </row>
    <row r="95" spans="1:31" ht="12.75" customHeight="1">
      <c r="A95" s="7"/>
      <c r="B95" s="5"/>
      <c r="C95" s="5"/>
      <c r="D95" s="5"/>
      <c r="E95" s="5"/>
      <c r="F95" s="5"/>
      <c r="G95" s="5"/>
      <c r="H95" s="5"/>
      <c r="I95" s="5"/>
      <c r="J95" s="178"/>
      <c r="K95" s="178"/>
      <c r="L95" s="178"/>
      <c r="M95" s="178"/>
      <c r="N95" s="223"/>
      <c r="O95" s="223"/>
    </row>
    <row r="96" spans="1:31" ht="12.75" customHeight="1">
      <c r="A96" s="7"/>
      <c r="B96" s="5"/>
      <c r="K96" s="178"/>
      <c r="L96" s="178"/>
      <c r="M96" s="178"/>
      <c r="N96" s="223"/>
      <c r="O96" s="223"/>
    </row>
    <row r="97" spans="1:15" ht="12.75" customHeight="1">
      <c r="A97" s="7"/>
      <c r="B97" s="5"/>
      <c r="K97" s="178"/>
      <c r="L97" s="178"/>
      <c r="M97" s="178"/>
      <c r="N97" s="223"/>
      <c r="O97" s="223"/>
    </row>
    <row r="98" spans="1:15" ht="12.75" customHeight="1">
      <c r="A98" s="7"/>
      <c r="B98" s="5"/>
      <c r="K98" s="176"/>
      <c r="L98" s="176"/>
      <c r="M98" s="176"/>
    </row>
    <row r="99" spans="1:15" ht="12.75" customHeight="1">
      <c r="K99" s="176"/>
      <c r="L99" s="176"/>
      <c r="M99" s="176"/>
    </row>
    <row r="100" spans="1:15" ht="12.75" customHeight="1">
      <c r="K100" s="176"/>
      <c r="L100" s="176"/>
      <c r="M100" s="176"/>
    </row>
    <row r="101" spans="1:15" ht="12.75" customHeight="1">
      <c r="K101" s="176"/>
      <c r="L101" s="176"/>
      <c r="M101" s="176"/>
    </row>
    <row r="102" spans="1:15" ht="12.75" customHeight="1"/>
    <row r="104" spans="1:15">
      <c r="A104" s="5"/>
      <c r="B104" s="15"/>
      <c r="C104" s="15"/>
      <c r="D104" s="15"/>
      <c r="E104" s="15"/>
      <c r="F104" s="15"/>
      <c r="G104" s="15"/>
      <c r="H104" s="15"/>
      <c r="I104" s="15"/>
    </row>
    <row r="105" spans="1:15">
      <c r="A105" s="5"/>
    </row>
    <row r="106" spans="1:15">
      <c r="A106" s="5"/>
    </row>
    <row r="107" spans="1:15">
      <c r="A107" s="5"/>
    </row>
    <row r="108" spans="1:15">
      <c r="A108" s="5"/>
    </row>
    <row r="109" spans="1:15">
      <c r="A109" s="5"/>
    </row>
    <row r="110" spans="1:15">
      <c r="A110" s="5"/>
    </row>
    <row r="111" spans="1:15">
      <c r="A111" s="5"/>
    </row>
    <row r="112" spans="1:15">
      <c r="A112" s="5"/>
    </row>
    <row r="113" spans="1:1">
      <c r="A113" s="5"/>
    </row>
    <row r="114" spans="1:1">
      <c r="A114" s="5"/>
    </row>
    <row r="115" spans="1:1">
      <c r="A115" s="5"/>
    </row>
    <row r="116" spans="1:1">
      <c r="A116" s="5"/>
    </row>
    <row r="117" spans="1:1">
      <c r="A117" s="5"/>
    </row>
    <row r="118" spans="1:1">
      <c r="A118" s="5"/>
    </row>
  </sheetData>
  <mergeCells count="100">
    <mergeCell ref="A24:A37"/>
    <mergeCell ref="B13:B14"/>
    <mergeCell ref="I11:I12"/>
    <mergeCell ref="G8:G10"/>
    <mergeCell ref="I8:I10"/>
    <mergeCell ref="F11:F12"/>
    <mergeCell ref="B8:B10"/>
    <mergeCell ref="D5:D15"/>
    <mergeCell ref="M72:N72"/>
    <mergeCell ref="J2:AE2"/>
    <mergeCell ref="V14:Z14"/>
    <mergeCell ref="J14:K14"/>
    <mergeCell ref="P14:R14"/>
    <mergeCell ref="F13:F14"/>
    <mergeCell ref="I13:I14"/>
    <mergeCell ref="J3:AE3"/>
    <mergeCell ref="AA14:AE14"/>
    <mergeCell ref="F72:G72"/>
    <mergeCell ref="M80:N80"/>
    <mergeCell ref="A55:A64"/>
    <mergeCell ref="A39:A52"/>
    <mergeCell ref="M75:N75"/>
    <mergeCell ref="L72:L75"/>
    <mergeCell ref="L69:Q69"/>
    <mergeCell ref="O70:Q70"/>
    <mergeCell ref="M70:N71"/>
    <mergeCell ref="K76:K77"/>
    <mergeCell ref="M73:N73"/>
    <mergeCell ref="M74:N74"/>
    <mergeCell ref="F76:G76"/>
    <mergeCell ref="F68:I68"/>
    <mergeCell ref="M83:N83"/>
    <mergeCell ref="M76:N76"/>
    <mergeCell ref="M81:N81"/>
    <mergeCell ref="M78:N78"/>
    <mergeCell ref="M79:N79"/>
    <mergeCell ref="M77:N77"/>
    <mergeCell ref="M82:N82"/>
    <mergeCell ref="L76:L80"/>
    <mergeCell ref="L70:L71"/>
    <mergeCell ref="F70:G70"/>
    <mergeCell ref="F77:G77"/>
    <mergeCell ref="J74:J75"/>
    <mergeCell ref="J76:J77"/>
    <mergeCell ref="F79:G79"/>
    <mergeCell ref="K74:K75"/>
    <mergeCell ref="K70:K73"/>
    <mergeCell ref="J69:K69"/>
    <mergeCell ref="F73:G73"/>
    <mergeCell ref="J70:J73"/>
    <mergeCell ref="F75:G75"/>
    <mergeCell ref="F71:G71"/>
    <mergeCell ref="F74:G74"/>
    <mergeCell ref="B69:I69"/>
    <mergeCell ref="F67:I67"/>
    <mergeCell ref="F78:G78"/>
    <mergeCell ref="F84:H84"/>
    <mergeCell ref="F81:H81"/>
    <mergeCell ref="F82:H82"/>
    <mergeCell ref="F80:H80"/>
    <mergeCell ref="F83:H83"/>
    <mergeCell ref="F66:I66"/>
    <mergeCell ref="J21:K21"/>
    <mergeCell ref="J15:K15"/>
    <mergeCell ref="H16:H17"/>
    <mergeCell ref="G18:G19"/>
    <mergeCell ref="F65:I65"/>
    <mergeCell ref="I16:I17"/>
    <mergeCell ref="I18:I19"/>
    <mergeCell ref="J16:K16"/>
    <mergeCell ref="AC19:AE19"/>
    <mergeCell ref="J20:K20"/>
    <mergeCell ref="B68:E68"/>
    <mergeCell ref="J19:K19"/>
    <mergeCell ref="F18:F19"/>
    <mergeCell ref="B66:E66"/>
    <mergeCell ref="C65:E65"/>
    <mergeCell ref="B67:E67"/>
    <mergeCell ref="H18:H19"/>
    <mergeCell ref="L19:R19"/>
    <mergeCell ref="B1:I1"/>
    <mergeCell ref="B2:I2"/>
    <mergeCell ref="B3:I3"/>
    <mergeCell ref="S14:U14"/>
    <mergeCell ref="I5:I7"/>
    <mergeCell ref="G5:G7"/>
    <mergeCell ref="G13:G14"/>
    <mergeCell ref="B5:B7"/>
    <mergeCell ref="J1:AE1"/>
    <mergeCell ref="H5:H14"/>
    <mergeCell ref="T19:Z19"/>
    <mergeCell ref="A5:A21"/>
    <mergeCell ref="D18:D19"/>
    <mergeCell ref="B11:B12"/>
    <mergeCell ref="G11:G12"/>
    <mergeCell ref="F5:F7"/>
    <mergeCell ref="G16:G17"/>
    <mergeCell ref="D16:D17"/>
    <mergeCell ref="F16:F17"/>
    <mergeCell ref="F8:F10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E118"/>
  <sheetViews>
    <sheetView workbookViewId="0">
      <selection activeCell="B1" sqref="B1:I1"/>
    </sheetView>
  </sheetViews>
  <sheetFormatPr defaultRowHeight="12.75"/>
  <cols>
    <col min="1" max="2" width="3.7109375" customWidth="1"/>
    <col min="3" max="3" width="34.7109375" customWidth="1"/>
    <col min="4" max="9" width="10.7109375" customWidth="1"/>
    <col min="10" max="10" width="15.7109375" style="2" customWidth="1"/>
    <col min="11" max="13" width="15.5703125" style="2" customWidth="1"/>
    <col min="14" max="14" width="15.7109375" style="2" customWidth="1"/>
    <col min="15" max="18" width="15.5703125" style="2" customWidth="1"/>
    <col min="19" max="19" width="15.85546875" style="2" customWidth="1"/>
    <col min="20" max="21" width="15.5703125" style="2" customWidth="1"/>
    <col min="22" max="27" width="15.5703125" customWidth="1"/>
    <col min="28" max="28" width="16.7109375" customWidth="1"/>
    <col min="29" max="31" width="15.5703125" customWidth="1"/>
  </cols>
  <sheetData>
    <row r="1" spans="1:31" ht="28.5" customHeight="1">
      <c r="A1" s="31"/>
      <c r="B1" s="250" t="s">
        <v>248</v>
      </c>
      <c r="C1" s="251"/>
      <c r="D1" s="251"/>
      <c r="E1" s="251"/>
      <c r="F1" s="251"/>
      <c r="G1" s="251"/>
      <c r="H1" s="251"/>
      <c r="I1" s="251"/>
      <c r="J1" s="240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24" customHeight="1">
      <c r="A2" s="22"/>
      <c r="B2" s="252" t="s">
        <v>225</v>
      </c>
      <c r="C2" s="252"/>
      <c r="D2" s="252"/>
      <c r="E2" s="252"/>
      <c r="F2" s="252"/>
      <c r="G2" s="252"/>
      <c r="H2" s="252"/>
      <c r="I2" s="252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4"/>
      <c r="W2" s="244"/>
      <c r="X2" s="244"/>
      <c r="Y2" s="244"/>
      <c r="Z2" s="244"/>
      <c r="AA2" s="244"/>
      <c r="AB2" s="244"/>
      <c r="AC2" s="244"/>
      <c r="AD2" s="244"/>
      <c r="AE2" s="244"/>
    </row>
    <row r="3" spans="1:31" ht="24" customHeight="1">
      <c r="A3" s="23"/>
      <c r="B3" s="253" t="s">
        <v>36</v>
      </c>
      <c r="C3" s="253"/>
      <c r="D3" s="253"/>
      <c r="E3" s="253"/>
      <c r="F3" s="253"/>
      <c r="G3" s="253"/>
      <c r="H3" s="253"/>
      <c r="I3" s="253"/>
      <c r="J3" s="245" t="s">
        <v>325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47"/>
    </row>
    <row r="4" spans="1:31" ht="12.75" customHeight="1">
      <c r="A4" s="107">
        <v>8</v>
      </c>
      <c r="B4" s="12"/>
      <c r="C4" s="12" t="s">
        <v>38</v>
      </c>
      <c r="D4" s="20" t="s">
        <v>167</v>
      </c>
      <c r="E4" s="12" t="s">
        <v>0</v>
      </c>
      <c r="F4" s="12" t="s">
        <v>1</v>
      </c>
      <c r="G4" s="12" t="s">
        <v>2</v>
      </c>
      <c r="H4" s="12" t="s">
        <v>10</v>
      </c>
      <c r="I4" s="12" t="s">
        <v>11</v>
      </c>
      <c r="J4" s="207" t="s">
        <v>24</v>
      </c>
      <c r="K4" s="190" t="s">
        <v>215</v>
      </c>
      <c r="L4" s="190" t="s">
        <v>237</v>
      </c>
      <c r="M4" s="190" t="s">
        <v>238</v>
      </c>
      <c r="N4" s="190" t="s">
        <v>239</v>
      </c>
      <c r="O4" s="190" t="s">
        <v>240</v>
      </c>
      <c r="P4" s="190" t="s">
        <v>241</v>
      </c>
      <c r="Q4" s="190" t="s">
        <v>242</v>
      </c>
      <c r="R4" s="190" t="s">
        <v>220</v>
      </c>
      <c r="S4" s="190" t="s">
        <v>221</v>
      </c>
      <c r="T4" s="190" t="s">
        <v>216</v>
      </c>
      <c r="U4" s="190" t="s">
        <v>217</v>
      </c>
      <c r="V4" s="190" t="s">
        <v>218</v>
      </c>
      <c r="W4" s="191" t="s">
        <v>219</v>
      </c>
      <c r="X4" s="191"/>
      <c r="Y4" s="191"/>
      <c r="Z4" s="191"/>
      <c r="AA4" s="191"/>
      <c r="AB4" s="191"/>
      <c r="AC4" s="192"/>
      <c r="AD4" s="193"/>
      <c r="AE4" s="193"/>
    </row>
    <row r="5" spans="1:31" ht="12.75" customHeight="1">
      <c r="A5" s="304" t="s">
        <v>292</v>
      </c>
      <c r="B5" s="235">
        <f>IF(A23=1,1,0)</f>
        <v>1</v>
      </c>
      <c r="C5" s="82" t="s">
        <v>245</v>
      </c>
      <c r="D5" s="233">
        <v>1</v>
      </c>
      <c r="E5" s="17">
        <f>IF(D5=1,K11,IF(D5=2,L11,IF(D5=3,M11,IF(D5=4,N11,IF(D5=5,O11,IF(D5=6,P11,IF(D5=7,Q11,IF(D5=8,R11,0))))))))*B5</f>
        <v>1092</v>
      </c>
      <c r="F5" s="235">
        <v>12</v>
      </c>
      <c r="G5" s="234">
        <f>ROUND((E5+E6+E7)*F5,2)</f>
        <v>13104</v>
      </c>
      <c r="H5" s="234">
        <v>16.079999999999998</v>
      </c>
      <c r="I5" s="234">
        <f>ROUND(G5*H5%,2)</f>
        <v>2107.12</v>
      </c>
      <c r="J5" s="227" t="s">
        <v>100</v>
      </c>
      <c r="K5" s="194">
        <v>1</v>
      </c>
      <c r="L5" s="194">
        <v>2</v>
      </c>
      <c r="M5" s="194">
        <v>3</v>
      </c>
      <c r="N5" s="194">
        <v>4</v>
      </c>
      <c r="O5" s="194">
        <v>5</v>
      </c>
      <c r="P5" s="194">
        <v>6</v>
      </c>
      <c r="Q5" s="194">
        <v>7</v>
      </c>
      <c r="R5" s="194">
        <v>8</v>
      </c>
      <c r="S5" s="194">
        <v>9</v>
      </c>
      <c r="T5" s="194">
        <v>10</v>
      </c>
      <c r="U5" s="194">
        <v>11</v>
      </c>
      <c r="V5" s="194">
        <v>12</v>
      </c>
      <c r="W5" s="192">
        <v>13</v>
      </c>
      <c r="X5" s="192"/>
      <c r="Y5" s="192"/>
      <c r="Z5" s="192"/>
      <c r="AA5" s="192"/>
      <c r="AB5" s="192"/>
      <c r="AC5" s="192"/>
      <c r="AD5" s="195"/>
      <c r="AE5" s="195"/>
    </row>
    <row r="6" spans="1:31" ht="12.75" customHeight="1">
      <c r="A6" s="342"/>
      <c r="B6" s="235"/>
      <c r="C6" s="82" t="s">
        <v>246</v>
      </c>
      <c r="D6" s="233"/>
      <c r="E6" s="17">
        <f>IF(D5=9,S11,IF(D5=10,T11,IF(D5=11,U11,IF(D5=12,V11,IF(D5=13,W11,IF(D5=14,X11,IF(D5=15,Y11,IF(D5=16,Z11,0))))))))*B5</f>
        <v>0</v>
      </c>
      <c r="F6" s="235"/>
      <c r="G6" s="234"/>
      <c r="H6" s="235"/>
      <c r="I6" s="234"/>
      <c r="J6" s="227" t="s">
        <v>101</v>
      </c>
      <c r="K6" s="196">
        <v>780</v>
      </c>
      <c r="L6" s="196">
        <f>ROUND(K6+$K$6*0.0551,0)</f>
        <v>823</v>
      </c>
      <c r="M6" s="196">
        <f t="shared" ref="M6:W6" si="0">ROUND(L6+$K$6*0.0551,0)</f>
        <v>866</v>
      </c>
      <c r="N6" s="196">
        <f t="shared" si="0"/>
        <v>909</v>
      </c>
      <c r="O6" s="196">
        <f t="shared" si="0"/>
        <v>952</v>
      </c>
      <c r="P6" s="196">
        <f t="shared" si="0"/>
        <v>995</v>
      </c>
      <c r="Q6" s="196">
        <f t="shared" si="0"/>
        <v>1038</v>
      </c>
      <c r="R6" s="196">
        <f t="shared" si="0"/>
        <v>1081</v>
      </c>
      <c r="S6" s="196">
        <f t="shared" si="0"/>
        <v>1124</v>
      </c>
      <c r="T6" s="196">
        <f t="shared" si="0"/>
        <v>1167</v>
      </c>
      <c r="U6" s="196">
        <f t="shared" si="0"/>
        <v>1210</v>
      </c>
      <c r="V6" s="196">
        <f t="shared" si="0"/>
        <v>1253</v>
      </c>
      <c r="W6" s="196">
        <f t="shared" si="0"/>
        <v>1296</v>
      </c>
      <c r="X6" s="196"/>
      <c r="Y6" s="196"/>
      <c r="Z6" s="196"/>
      <c r="AA6" s="196"/>
      <c r="AB6" s="196"/>
      <c r="AC6" s="196"/>
      <c r="AD6" s="197"/>
      <c r="AE6" s="197"/>
    </row>
    <row r="7" spans="1:31" ht="12.75" customHeight="1">
      <c r="A7" s="342"/>
      <c r="B7" s="235"/>
      <c r="C7" s="82" t="s">
        <v>244</v>
      </c>
      <c r="D7" s="233"/>
      <c r="E7" s="17">
        <f>IF(D5=17,AA11,IF(D5=18,AB11,IF(D5=19,AC11,0)))*B5</f>
        <v>0</v>
      </c>
      <c r="F7" s="235"/>
      <c r="G7" s="234"/>
      <c r="H7" s="235"/>
      <c r="I7" s="234"/>
      <c r="J7" s="227" t="s">
        <v>102</v>
      </c>
      <c r="K7" s="198">
        <f>ROUND(K6*1.1,0)</f>
        <v>858</v>
      </c>
      <c r="L7" s="196">
        <f>ROUND(K7+$K$7*0.0699,0)</f>
        <v>918</v>
      </c>
      <c r="M7" s="196">
        <f t="shared" ref="M7:W7" si="1">ROUND(L7+$K$7*0.0699,0)</f>
        <v>978</v>
      </c>
      <c r="N7" s="196">
        <f t="shared" si="1"/>
        <v>1038</v>
      </c>
      <c r="O7" s="196">
        <f t="shared" si="1"/>
        <v>1098</v>
      </c>
      <c r="P7" s="196">
        <f t="shared" si="1"/>
        <v>1158</v>
      </c>
      <c r="Q7" s="196">
        <f t="shared" si="1"/>
        <v>1218</v>
      </c>
      <c r="R7" s="196">
        <f t="shared" si="1"/>
        <v>1278</v>
      </c>
      <c r="S7" s="196">
        <f t="shared" si="1"/>
        <v>1338</v>
      </c>
      <c r="T7" s="196">
        <f t="shared" si="1"/>
        <v>1398</v>
      </c>
      <c r="U7" s="196">
        <f t="shared" si="1"/>
        <v>1458</v>
      </c>
      <c r="V7" s="196">
        <f t="shared" si="1"/>
        <v>1518</v>
      </c>
      <c r="W7" s="196">
        <f t="shared" si="1"/>
        <v>1578</v>
      </c>
      <c r="X7" s="196"/>
      <c r="Y7" s="196"/>
      <c r="Z7" s="196"/>
      <c r="AA7" s="196"/>
      <c r="AB7" s="196"/>
      <c r="AC7" s="196"/>
      <c r="AD7" s="199"/>
      <c r="AE7" s="199"/>
    </row>
    <row r="8" spans="1:31" ht="12.75" customHeight="1">
      <c r="A8" s="342"/>
      <c r="B8" s="235">
        <f>IF(A23=2,1,0)</f>
        <v>0</v>
      </c>
      <c r="C8" s="82" t="s">
        <v>245</v>
      </c>
      <c r="D8" s="233"/>
      <c r="E8" s="17">
        <f>IF(D5=1,K10,IF(D5=2,L10,IF(D5=3,M10,IF(D5=4,N10,IF(D5=5,O10,IF(D5=6,P10,IF(D5=7,Q10,IF(D5=8,R10,0))))))))*B8</f>
        <v>0</v>
      </c>
      <c r="F8" s="235">
        <v>12</v>
      </c>
      <c r="G8" s="234">
        <f>ROUND((E8+E9+E10)*F8,2)</f>
        <v>0</v>
      </c>
      <c r="H8" s="235"/>
      <c r="I8" s="234">
        <f>ROUND(G8*H5%,2)</f>
        <v>0</v>
      </c>
      <c r="J8" s="227" t="s">
        <v>24</v>
      </c>
      <c r="K8" s="190" t="s">
        <v>126</v>
      </c>
      <c r="L8" s="190" t="s">
        <v>127</v>
      </c>
      <c r="M8" s="190" t="s">
        <v>128</v>
      </c>
      <c r="N8" s="190" t="s">
        <v>130</v>
      </c>
      <c r="O8" s="190" t="s">
        <v>131</v>
      </c>
      <c r="P8" s="190" t="s">
        <v>133</v>
      </c>
      <c r="Q8" s="190" t="s">
        <v>134</v>
      </c>
      <c r="R8" s="190" t="s">
        <v>139</v>
      </c>
      <c r="S8" s="190" t="s">
        <v>141</v>
      </c>
      <c r="T8" s="190" t="s">
        <v>142</v>
      </c>
      <c r="U8" s="190" t="s">
        <v>138</v>
      </c>
      <c r="V8" s="190" t="s">
        <v>229</v>
      </c>
      <c r="W8" s="191" t="s">
        <v>230</v>
      </c>
      <c r="X8" s="191" t="s">
        <v>231</v>
      </c>
      <c r="Y8" s="191" t="s">
        <v>232</v>
      </c>
      <c r="Z8" s="191" t="s">
        <v>233</v>
      </c>
      <c r="AA8" s="191" t="s">
        <v>234</v>
      </c>
      <c r="AB8" s="191" t="s">
        <v>235</v>
      </c>
      <c r="AC8" s="191" t="s">
        <v>236</v>
      </c>
      <c r="AD8" s="200"/>
      <c r="AE8" s="200"/>
    </row>
    <row r="9" spans="1:31" ht="12.75" customHeight="1">
      <c r="A9" s="342"/>
      <c r="B9" s="235"/>
      <c r="C9" s="82" t="s">
        <v>246</v>
      </c>
      <c r="D9" s="249"/>
      <c r="E9" s="17">
        <f>IF(D5=9,S10,IF(D5=10,T10,IF(D5=11,U10,IF(D5=12,V10,IF(D5=13,W10,IF(D5=14,X10,IF(D5=15,Y10,IF(D5=16,Z10,0))))))))*B8</f>
        <v>0</v>
      </c>
      <c r="F9" s="235"/>
      <c r="G9" s="234"/>
      <c r="H9" s="235"/>
      <c r="I9" s="234"/>
      <c r="J9" s="227" t="s">
        <v>100</v>
      </c>
      <c r="K9" s="194">
        <v>1</v>
      </c>
      <c r="L9" s="194">
        <v>2</v>
      </c>
      <c r="M9" s="194">
        <v>3</v>
      </c>
      <c r="N9" s="194">
        <v>4</v>
      </c>
      <c r="O9" s="194">
        <v>5</v>
      </c>
      <c r="P9" s="194">
        <v>6</v>
      </c>
      <c r="Q9" s="194">
        <v>7</v>
      </c>
      <c r="R9" s="194">
        <v>8</v>
      </c>
      <c r="S9" s="194">
        <v>9</v>
      </c>
      <c r="T9" s="194">
        <v>10</v>
      </c>
      <c r="U9" s="194">
        <v>11</v>
      </c>
      <c r="V9" s="194">
        <v>12</v>
      </c>
      <c r="W9" s="192">
        <v>13</v>
      </c>
      <c r="X9" s="192">
        <v>14</v>
      </c>
      <c r="Y9" s="192">
        <v>15</v>
      </c>
      <c r="Z9" s="192">
        <v>16</v>
      </c>
      <c r="AA9" s="192">
        <v>17</v>
      </c>
      <c r="AB9" s="192">
        <v>18</v>
      </c>
      <c r="AC9" s="192">
        <v>19</v>
      </c>
      <c r="AD9" s="195"/>
      <c r="AE9" s="195"/>
    </row>
    <row r="10" spans="1:31" ht="12.75" customHeight="1">
      <c r="A10" s="342"/>
      <c r="B10" s="235"/>
      <c r="C10" s="82" t="s">
        <v>244</v>
      </c>
      <c r="D10" s="249"/>
      <c r="E10" s="17">
        <f>IF(D5=17,AA10,IF(D5=18,AB10,IF(D5=19,AC10,0)))*B8</f>
        <v>0</v>
      </c>
      <c r="F10" s="235"/>
      <c r="G10" s="234"/>
      <c r="H10" s="235"/>
      <c r="I10" s="234"/>
      <c r="J10" s="227" t="s">
        <v>103</v>
      </c>
      <c r="K10" s="198">
        <f>ROUND(K6*1.33,0)</f>
        <v>1037</v>
      </c>
      <c r="L10" s="196">
        <f>ROUND(K10+$K$10*0.053,0)</f>
        <v>1092</v>
      </c>
      <c r="M10" s="196">
        <f t="shared" ref="M10:AC10" si="2">ROUND(L10+$K$10*0.053,0)</f>
        <v>1147</v>
      </c>
      <c r="N10" s="196">
        <f t="shared" si="2"/>
        <v>1202</v>
      </c>
      <c r="O10" s="196">
        <f t="shared" si="2"/>
        <v>1257</v>
      </c>
      <c r="P10" s="196">
        <f t="shared" si="2"/>
        <v>1312</v>
      </c>
      <c r="Q10" s="196">
        <f t="shared" si="2"/>
        <v>1367</v>
      </c>
      <c r="R10" s="196">
        <f t="shared" si="2"/>
        <v>1422</v>
      </c>
      <c r="S10" s="196">
        <f t="shared" si="2"/>
        <v>1477</v>
      </c>
      <c r="T10" s="196">
        <f t="shared" si="2"/>
        <v>1532</v>
      </c>
      <c r="U10" s="196">
        <f t="shared" si="2"/>
        <v>1587</v>
      </c>
      <c r="V10" s="196">
        <f t="shared" si="2"/>
        <v>1642</v>
      </c>
      <c r="W10" s="196">
        <f t="shared" si="2"/>
        <v>1697</v>
      </c>
      <c r="X10" s="196">
        <f t="shared" si="2"/>
        <v>1752</v>
      </c>
      <c r="Y10" s="196">
        <f t="shared" si="2"/>
        <v>1807</v>
      </c>
      <c r="Z10" s="196">
        <f t="shared" si="2"/>
        <v>1862</v>
      </c>
      <c r="AA10" s="196">
        <f t="shared" si="2"/>
        <v>1917</v>
      </c>
      <c r="AB10" s="196">
        <f t="shared" si="2"/>
        <v>1972</v>
      </c>
      <c r="AC10" s="196">
        <f t="shared" si="2"/>
        <v>2027</v>
      </c>
      <c r="AD10" s="196"/>
      <c r="AE10" s="196"/>
    </row>
    <row r="11" spans="1:31" ht="12.75" customHeight="1">
      <c r="A11" s="342"/>
      <c r="B11" s="235">
        <f>IF(A23=3,1,0)</f>
        <v>0</v>
      </c>
      <c r="C11" s="82" t="s">
        <v>245</v>
      </c>
      <c r="D11" s="249"/>
      <c r="E11" s="17">
        <f>IF(D5=1,K7,IF(D5=2,L7,IF(D5=3,M7,IF(D5=4,N7,IF(D5=5,O7,IF(D5=6,P7,IF(D5=7,Q7,IF(D5=8,R7,0))))))))*B11</f>
        <v>0</v>
      </c>
      <c r="F11" s="235">
        <v>12</v>
      </c>
      <c r="G11" s="234">
        <f>ROUND((E11+E12)*F11,2)</f>
        <v>0</v>
      </c>
      <c r="H11" s="235"/>
      <c r="I11" s="234">
        <f>ROUND(G11*H5%,2)</f>
        <v>0</v>
      </c>
      <c r="J11" s="227" t="s">
        <v>104</v>
      </c>
      <c r="K11" s="198">
        <f>ROUND(K6*1.4,0)</f>
        <v>1092</v>
      </c>
      <c r="L11" s="196">
        <f>ROUND(K11+$K$11*0.054,0)</f>
        <v>1151</v>
      </c>
      <c r="M11" s="196">
        <f t="shared" ref="M11:AC11" si="3">ROUND(L11+$K$11*0.054,0)</f>
        <v>1210</v>
      </c>
      <c r="N11" s="196">
        <f t="shared" si="3"/>
        <v>1269</v>
      </c>
      <c r="O11" s="196">
        <f t="shared" si="3"/>
        <v>1328</v>
      </c>
      <c r="P11" s="196">
        <f t="shared" si="3"/>
        <v>1387</v>
      </c>
      <c r="Q11" s="196">
        <f t="shared" si="3"/>
        <v>1446</v>
      </c>
      <c r="R11" s="196">
        <f t="shared" si="3"/>
        <v>1505</v>
      </c>
      <c r="S11" s="196">
        <f t="shared" si="3"/>
        <v>1564</v>
      </c>
      <c r="T11" s="196">
        <f t="shared" si="3"/>
        <v>1623</v>
      </c>
      <c r="U11" s="196">
        <f t="shared" si="3"/>
        <v>1682</v>
      </c>
      <c r="V11" s="196">
        <f t="shared" si="3"/>
        <v>1741</v>
      </c>
      <c r="W11" s="196">
        <f t="shared" si="3"/>
        <v>1800</v>
      </c>
      <c r="X11" s="196">
        <f t="shared" si="3"/>
        <v>1859</v>
      </c>
      <c r="Y11" s="196">
        <f t="shared" si="3"/>
        <v>1918</v>
      </c>
      <c r="Z11" s="196">
        <f t="shared" si="3"/>
        <v>1977</v>
      </c>
      <c r="AA11" s="196">
        <f t="shared" si="3"/>
        <v>2036</v>
      </c>
      <c r="AB11" s="196">
        <f t="shared" si="3"/>
        <v>2095</v>
      </c>
      <c r="AC11" s="196">
        <f t="shared" si="3"/>
        <v>2154</v>
      </c>
      <c r="AD11" s="196"/>
      <c r="AE11" s="196"/>
    </row>
    <row r="12" spans="1:31" ht="12.75" customHeight="1">
      <c r="A12" s="342"/>
      <c r="B12" s="235"/>
      <c r="C12" s="82" t="s">
        <v>247</v>
      </c>
      <c r="D12" s="249"/>
      <c r="E12" s="17">
        <f>IF(D5=9,S7,IF(D5=10,T7,IF(D5=11,U7,IF(D5=12,V7,IF(D5=13,W7,0)))))*B11</f>
        <v>0</v>
      </c>
      <c r="F12" s="235"/>
      <c r="G12" s="234"/>
      <c r="H12" s="235"/>
      <c r="I12" s="234"/>
      <c r="J12" s="228"/>
      <c r="K12" s="201"/>
      <c r="L12" s="201"/>
      <c r="M12" s="201"/>
      <c r="N12" s="201"/>
      <c r="O12" s="201"/>
      <c r="P12" s="201"/>
      <c r="Q12" s="201"/>
      <c r="R12" s="202"/>
      <c r="S12" s="201"/>
      <c r="T12" s="201"/>
      <c r="U12" s="201"/>
      <c r="V12" s="202"/>
      <c r="W12" s="202"/>
      <c r="X12" s="201"/>
      <c r="Y12" s="201"/>
      <c r="Z12" s="201"/>
      <c r="AA12" s="201"/>
      <c r="AB12" s="202"/>
      <c r="AC12" s="202"/>
      <c r="AD12" s="202"/>
      <c r="AE12" s="203"/>
    </row>
    <row r="13" spans="1:31" ht="12.75" customHeight="1">
      <c r="A13" s="342"/>
      <c r="B13" s="235">
        <f>IF(A23=4,1,0)</f>
        <v>0</v>
      </c>
      <c r="C13" s="82" t="s">
        <v>245</v>
      </c>
      <c r="D13" s="249"/>
      <c r="E13" s="17">
        <f>IF(D5=1,K6,IF(D5=2,L6,IF(D5=3,M6,IF(D5=4,N6,IF(D5=5,O6,IF(D5=6,P6,IF(D5=7,Q6,IF(D5=8,R6,0))))))))*B13</f>
        <v>0</v>
      </c>
      <c r="F13" s="235">
        <v>12</v>
      </c>
      <c r="G13" s="248">
        <f>ROUND((E13+E14)*F13,2)</f>
        <v>0</v>
      </c>
      <c r="H13" s="235"/>
      <c r="I13" s="234">
        <f>ROUND(G13*H5%,2)</f>
        <v>0</v>
      </c>
      <c r="J13" s="228"/>
      <c r="K13" s="204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6"/>
      <c r="W13" s="206"/>
      <c r="X13" s="205"/>
      <c r="Y13" s="205"/>
      <c r="Z13" s="205"/>
      <c r="AA13" s="205"/>
      <c r="AB13" s="205"/>
      <c r="AC13" s="205"/>
      <c r="AD13" s="205"/>
      <c r="AE13" s="205"/>
    </row>
    <row r="14" spans="1:31" ht="12.75" customHeight="1">
      <c r="A14" s="342"/>
      <c r="B14" s="235"/>
      <c r="C14" s="82" t="s">
        <v>247</v>
      </c>
      <c r="D14" s="249"/>
      <c r="E14" s="17">
        <f>IF(D5=9,S6,IF(D5=10,T6,IF(D5=11,U6,IF(D5=12,V6,IF(D5=13,W6,0)))))*B13</f>
        <v>0</v>
      </c>
      <c r="F14" s="235"/>
      <c r="G14" s="248"/>
      <c r="H14" s="235"/>
      <c r="I14" s="234"/>
      <c r="J14" s="242" t="s">
        <v>78</v>
      </c>
      <c r="K14" s="237"/>
      <c r="L14" s="208" t="s">
        <v>123</v>
      </c>
      <c r="M14" s="207" t="s">
        <v>159</v>
      </c>
      <c r="N14" s="207" t="s">
        <v>318</v>
      </c>
      <c r="O14" s="207" t="s">
        <v>316</v>
      </c>
      <c r="P14" s="239" t="s">
        <v>283</v>
      </c>
      <c r="Q14" s="239"/>
      <c r="R14" s="239"/>
      <c r="S14" s="239" t="s">
        <v>284</v>
      </c>
      <c r="T14" s="239"/>
      <c r="U14" s="239"/>
      <c r="V14" s="237" t="s">
        <v>286</v>
      </c>
      <c r="W14" s="237"/>
      <c r="X14" s="237"/>
      <c r="Y14" s="237"/>
      <c r="Z14" s="237"/>
      <c r="AA14" s="237" t="s">
        <v>285</v>
      </c>
      <c r="AB14" s="237"/>
      <c r="AC14" s="237"/>
      <c r="AD14" s="237"/>
      <c r="AE14" s="237"/>
    </row>
    <row r="15" spans="1:31" ht="12.75" customHeight="1">
      <c r="A15" s="342"/>
      <c r="B15" s="1"/>
      <c r="C15" s="82" t="s">
        <v>243</v>
      </c>
      <c r="D15" s="249"/>
      <c r="E15" s="134"/>
      <c r="F15" s="3">
        <v>12</v>
      </c>
      <c r="G15" s="17">
        <f>ROUND(E15*F15,2)</f>
        <v>0</v>
      </c>
      <c r="H15" s="17">
        <v>16.079999999999998</v>
      </c>
      <c r="I15" s="17">
        <f>ROUND(G15*H15%,2)</f>
        <v>0</v>
      </c>
      <c r="J15" s="242" t="s">
        <v>41</v>
      </c>
      <c r="K15" s="237"/>
      <c r="L15" s="208" t="s">
        <v>122</v>
      </c>
      <c r="M15" s="207" t="s">
        <v>19</v>
      </c>
      <c r="N15" s="208" t="s">
        <v>317</v>
      </c>
      <c r="O15" s="207" t="s">
        <v>317</v>
      </c>
      <c r="P15" s="207" t="s">
        <v>320</v>
      </c>
      <c r="Q15" s="207" t="s">
        <v>324</v>
      </c>
      <c r="R15" s="207" t="s">
        <v>321</v>
      </c>
      <c r="S15" s="207" t="s">
        <v>320</v>
      </c>
      <c r="T15" s="207" t="s">
        <v>324</v>
      </c>
      <c r="U15" s="207" t="s">
        <v>321</v>
      </c>
      <c r="V15" s="207" t="s">
        <v>15</v>
      </c>
      <c r="W15" s="209" t="s">
        <v>289</v>
      </c>
      <c r="X15" s="209" t="s">
        <v>287</v>
      </c>
      <c r="Y15" s="209" t="s">
        <v>319</v>
      </c>
      <c r="Z15" s="209" t="s">
        <v>145</v>
      </c>
      <c r="AA15" s="207" t="s">
        <v>15</v>
      </c>
      <c r="AB15" s="209" t="s">
        <v>289</v>
      </c>
      <c r="AC15" s="209" t="s">
        <v>287</v>
      </c>
      <c r="AD15" s="209" t="s">
        <v>319</v>
      </c>
      <c r="AE15" s="209" t="s">
        <v>145</v>
      </c>
    </row>
    <row r="16" spans="1:31" ht="12.75" customHeight="1">
      <c r="A16" s="342"/>
      <c r="B16" s="12" t="s">
        <v>3</v>
      </c>
      <c r="C16" s="82" t="s">
        <v>59</v>
      </c>
      <c r="D16" s="233">
        <v>0</v>
      </c>
      <c r="E16" s="94">
        <f>IF(D16=0,K25,IF(D16=0,L25,IF(D16=1,M25,IF(D16=2,N25,IF(D16=3,O25,IF(D16=4,P25,IF(D16=5,Q25,IF(D16=6,R25,0))))))))</f>
        <v>0</v>
      </c>
      <c r="F16" s="235">
        <v>12</v>
      </c>
      <c r="G16" s="234">
        <f>ROUND((E16+E17)*F16,2)</f>
        <v>0</v>
      </c>
      <c r="H16" s="234">
        <v>16.079999999999998</v>
      </c>
      <c r="I16" s="234">
        <f>ROUND(G16*H16%,2)</f>
        <v>0</v>
      </c>
      <c r="J16" s="243" t="s">
        <v>58</v>
      </c>
      <c r="K16" s="236"/>
      <c r="L16" s="211">
        <v>900</v>
      </c>
      <c r="M16" s="211">
        <v>550</v>
      </c>
      <c r="N16" s="211">
        <v>500</v>
      </c>
      <c r="O16" s="211">
        <v>350</v>
      </c>
      <c r="P16" s="211">
        <v>385</v>
      </c>
      <c r="Q16" s="211">
        <v>385</v>
      </c>
      <c r="R16" s="211">
        <v>385</v>
      </c>
      <c r="S16" s="211">
        <v>330</v>
      </c>
      <c r="T16" s="211">
        <v>330</v>
      </c>
      <c r="U16" s="211">
        <v>330</v>
      </c>
      <c r="V16" s="211">
        <v>330</v>
      </c>
      <c r="W16" s="211">
        <v>330</v>
      </c>
      <c r="X16" s="211">
        <v>330</v>
      </c>
      <c r="Y16" s="211">
        <v>330</v>
      </c>
      <c r="Z16" s="211">
        <v>330</v>
      </c>
      <c r="AA16" s="211">
        <v>275</v>
      </c>
      <c r="AB16" s="211">
        <v>275</v>
      </c>
      <c r="AC16" s="211">
        <v>275</v>
      </c>
      <c r="AD16" s="211">
        <v>275</v>
      </c>
      <c r="AE16" s="211">
        <v>275</v>
      </c>
    </row>
    <row r="17" spans="1:31" ht="12.75" customHeight="1">
      <c r="A17" s="342"/>
      <c r="B17" s="12" t="s">
        <v>4</v>
      </c>
      <c r="C17" s="82" t="s">
        <v>59</v>
      </c>
      <c r="D17" s="233"/>
      <c r="E17" s="94">
        <f>IF(D16=7,S25,IF(D16=8,T25,IF(D16=9,U25,IF(D16=10,V25,0))))</f>
        <v>0</v>
      </c>
      <c r="F17" s="235"/>
      <c r="G17" s="234"/>
      <c r="H17" s="234"/>
      <c r="I17" s="234"/>
      <c r="J17" s="227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212"/>
      <c r="AC17" s="212"/>
      <c r="AD17" s="189"/>
      <c r="AE17" s="189"/>
    </row>
    <row r="18" spans="1:31" ht="12.75" customHeight="1">
      <c r="A18" s="342"/>
      <c r="B18" s="12" t="s">
        <v>5</v>
      </c>
      <c r="C18" s="82" t="s">
        <v>58</v>
      </c>
      <c r="D18" s="233">
        <v>0</v>
      </c>
      <c r="E18" s="17">
        <f>IF(D18=1,P16,IF(D18=2,S16,IF(D18=3,V16,IF(D18=4,AA16,IF(D18=5,L21,IF(D18=6,V21,IF(D18=7,O16,0)))))))</f>
        <v>0</v>
      </c>
      <c r="F18" s="235">
        <v>12</v>
      </c>
      <c r="G18" s="234">
        <f>ROUND((E18+E19)*F18,2)</f>
        <v>0</v>
      </c>
      <c r="H18" s="234">
        <v>16.079999999999998</v>
      </c>
      <c r="I18" s="234">
        <f>ROUND(G18*H18%,2)</f>
        <v>0</v>
      </c>
      <c r="J18" s="227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9"/>
      <c r="AC18" s="189"/>
      <c r="AD18" s="189"/>
      <c r="AE18" s="189"/>
    </row>
    <row r="19" spans="1:31" ht="12.75" customHeight="1">
      <c r="A19" s="342"/>
      <c r="B19" s="12" t="s">
        <v>6</v>
      </c>
      <c r="C19" s="82" t="s">
        <v>58</v>
      </c>
      <c r="D19" s="233"/>
      <c r="E19" s="17">
        <f>IF(D18=8,M16,IF(D18=9,U21,IF(D18=10,N16,IF(D18=11,L16,IF(D18=12,Z21,IF(D18=13,Y21,0))))))</f>
        <v>0</v>
      </c>
      <c r="F19" s="235"/>
      <c r="G19" s="234"/>
      <c r="H19" s="234"/>
      <c r="I19" s="234"/>
      <c r="J19" s="242" t="s">
        <v>78</v>
      </c>
      <c r="K19" s="237"/>
      <c r="L19" s="237" t="s">
        <v>147</v>
      </c>
      <c r="M19" s="238"/>
      <c r="N19" s="238"/>
      <c r="O19" s="238"/>
      <c r="P19" s="238"/>
      <c r="Q19" s="238"/>
      <c r="R19" s="238"/>
      <c r="S19" s="208" t="s">
        <v>156</v>
      </c>
      <c r="T19" s="237" t="s">
        <v>159</v>
      </c>
      <c r="U19" s="238"/>
      <c r="V19" s="238"/>
      <c r="W19" s="238"/>
      <c r="X19" s="238"/>
      <c r="Y19" s="238"/>
      <c r="Z19" s="238"/>
      <c r="AA19" s="209" t="s">
        <v>16</v>
      </c>
      <c r="AB19" s="213" t="s">
        <v>196</v>
      </c>
      <c r="AC19" s="236" t="s">
        <v>195</v>
      </c>
      <c r="AD19" s="236"/>
      <c r="AE19" s="236"/>
    </row>
    <row r="20" spans="1:31" ht="12.75" customHeight="1">
      <c r="A20" s="342"/>
      <c r="B20" s="12" t="s">
        <v>7</v>
      </c>
      <c r="C20" s="82" t="s">
        <v>114</v>
      </c>
      <c r="D20" s="24">
        <v>0</v>
      </c>
      <c r="E20" s="17">
        <f>IF(D20=1,AB21,0)</f>
        <v>0</v>
      </c>
      <c r="F20" s="16">
        <v>12</v>
      </c>
      <c r="G20" s="17">
        <f>ROUND(E20*F20,2)</f>
        <v>0</v>
      </c>
      <c r="H20" s="17">
        <v>16.079999999999998</v>
      </c>
      <c r="I20" s="17">
        <f>ROUND(G20*H20%,2)</f>
        <v>0</v>
      </c>
      <c r="J20" s="242" t="s">
        <v>41</v>
      </c>
      <c r="K20" s="237"/>
      <c r="L20" s="207" t="s">
        <v>320</v>
      </c>
      <c r="M20" s="207" t="s">
        <v>324</v>
      </c>
      <c r="N20" s="207" t="s">
        <v>15</v>
      </c>
      <c r="O20" s="209" t="s">
        <v>287</v>
      </c>
      <c r="P20" s="209" t="s">
        <v>321</v>
      </c>
      <c r="Q20" s="209" t="s">
        <v>319</v>
      </c>
      <c r="R20" s="209" t="s">
        <v>145</v>
      </c>
      <c r="S20" s="209" t="s">
        <v>288</v>
      </c>
      <c r="T20" s="21" t="s">
        <v>322</v>
      </c>
      <c r="U20" s="210" t="s">
        <v>323</v>
      </c>
      <c r="V20" s="209" t="s">
        <v>146</v>
      </c>
      <c r="W20" s="214" t="s">
        <v>152</v>
      </c>
      <c r="X20" s="215" t="s">
        <v>166</v>
      </c>
      <c r="Y20" s="207" t="s">
        <v>106</v>
      </c>
      <c r="Z20" s="207" t="s">
        <v>77</v>
      </c>
      <c r="AA20" s="209" t="s">
        <v>17</v>
      </c>
      <c r="AB20" s="209" t="s">
        <v>197</v>
      </c>
      <c r="AC20" s="209" t="s">
        <v>198</v>
      </c>
      <c r="AD20" s="209" t="s">
        <v>199</v>
      </c>
      <c r="AE20" s="209" t="s">
        <v>200</v>
      </c>
    </row>
    <row r="21" spans="1:31" ht="12.75" customHeight="1">
      <c r="A21" s="343"/>
      <c r="B21" s="12" t="s">
        <v>4</v>
      </c>
      <c r="C21" s="1" t="s">
        <v>172</v>
      </c>
      <c r="D21" s="24">
        <v>0</v>
      </c>
      <c r="E21" s="17">
        <f>IF(D21=1,AC21,IF(D21=2,AD21,IF(D21=3,AE21,0)))</f>
        <v>0</v>
      </c>
      <c r="F21" s="16">
        <v>12</v>
      </c>
      <c r="G21" s="17">
        <f>ROUND(E21*F21,2)</f>
        <v>0</v>
      </c>
      <c r="H21" s="17">
        <v>16.079999999999998</v>
      </c>
      <c r="I21" s="17">
        <f>ROUND(G21*H21%,2)</f>
        <v>0</v>
      </c>
      <c r="J21" s="243" t="s">
        <v>58</v>
      </c>
      <c r="K21" s="236"/>
      <c r="L21" s="211">
        <v>150</v>
      </c>
      <c r="M21" s="216">
        <v>150</v>
      </c>
      <c r="N21" s="211">
        <v>150</v>
      </c>
      <c r="O21" s="211">
        <v>150</v>
      </c>
      <c r="P21" s="211">
        <v>150</v>
      </c>
      <c r="Q21" s="211">
        <v>150</v>
      </c>
      <c r="R21" s="211">
        <v>150</v>
      </c>
      <c r="S21" s="211">
        <v>150</v>
      </c>
      <c r="T21" s="4">
        <v>150</v>
      </c>
      <c r="U21" s="211">
        <v>350</v>
      </c>
      <c r="V21" s="211">
        <v>165</v>
      </c>
      <c r="W21" s="211">
        <v>165</v>
      </c>
      <c r="X21" s="211">
        <v>165</v>
      </c>
      <c r="Y21" s="211">
        <v>300</v>
      </c>
      <c r="Z21" s="211">
        <v>290</v>
      </c>
      <c r="AA21" s="208" t="s">
        <v>120</v>
      </c>
      <c r="AB21" s="211">
        <v>100</v>
      </c>
      <c r="AC21" s="211">
        <v>150</v>
      </c>
      <c r="AD21" s="211">
        <v>70</v>
      </c>
      <c r="AE21" s="211">
        <v>35</v>
      </c>
    </row>
    <row r="22" spans="1:31" ht="12.75" customHeight="1">
      <c r="A22" s="34"/>
      <c r="B22" s="12"/>
      <c r="C22" s="82" t="s">
        <v>34</v>
      </c>
      <c r="D22" s="24">
        <v>0</v>
      </c>
      <c r="E22" s="17"/>
      <c r="F22" s="16">
        <v>0</v>
      </c>
      <c r="G22" s="17"/>
      <c r="H22" s="17">
        <f>D22</f>
        <v>0</v>
      </c>
      <c r="I22" s="17">
        <f>ROUND(F22*H22,2)</f>
        <v>0</v>
      </c>
      <c r="J22" s="106"/>
      <c r="K22" s="24"/>
      <c r="L22" s="12"/>
      <c r="M22" s="98"/>
      <c r="N22" s="12"/>
      <c r="O22" s="12"/>
      <c r="P22" s="12"/>
      <c r="Q22" s="12"/>
      <c r="R22" s="12"/>
      <c r="S22" s="12"/>
      <c r="T22" s="12"/>
      <c r="U22" s="12"/>
      <c r="V22" s="24"/>
      <c r="W22" s="150"/>
      <c r="X22" s="151"/>
      <c r="Y22" s="151"/>
      <c r="Z22" s="151"/>
      <c r="AA22" s="151"/>
      <c r="AB22" s="144"/>
      <c r="AC22" s="144"/>
      <c r="AD22" s="144"/>
      <c r="AE22" s="144"/>
    </row>
    <row r="23" spans="1:31" ht="12.75" customHeight="1">
      <c r="A23" s="21">
        <v>1</v>
      </c>
      <c r="B23" s="12"/>
      <c r="C23" s="82" t="s">
        <v>60</v>
      </c>
      <c r="D23" s="24">
        <v>0</v>
      </c>
      <c r="E23" s="17"/>
      <c r="F23" s="16">
        <v>12</v>
      </c>
      <c r="G23" s="17"/>
      <c r="H23" s="17">
        <f>D23</f>
        <v>0</v>
      </c>
      <c r="I23" s="17">
        <f>ROUND(F23*H23,2)</f>
        <v>0</v>
      </c>
      <c r="J23" s="106"/>
      <c r="K23" s="24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79"/>
      <c r="Y23" s="11"/>
      <c r="Z23" s="11"/>
      <c r="AA23" s="11"/>
      <c r="AB23" s="84"/>
      <c r="AC23" s="84"/>
      <c r="AD23" s="84"/>
      <c r="AE23" s="84"/>
    </row>
    <row r="24" spans="1:31" ht="12.75" customHeight="1">
      <c r="A24" s="270" t="s">
        <v>82</v>
      </c>
      <c r="B24" s="12"/>
      <c r="C24" s="82" t="s">
        <v>266</v>
      </c>
      <c r="D24" s="184">
        <v>0</v>
      </c>
      <c r="E24" s="17"/>
      <c r="F24" s="16"/>
      <c r="G24" s="17"/>
      <c r="H24" s="17"/>
      <c r="I24" s="17"/>
      <c r="J24" s="106" t="s">
        <v>17</v>
      </c>
      <c r="K24" s="12" t="s">
        <v>14</v>
      </c>
      <c r="L24" s="12" t="s">
        <v>13</v>
      </c>
      <c r="M24" s="12" t="s">
        <v>64</v>
      </c>
      <c r="N24" s="12" t="s">
        <v>65</v>
      </c>
      <c r="O24" s="12" t="s">
        <v>66</v>
      </c>
      <c r="P24" s="12" t="s">
        <v>67</v>
      </c>
      <c r="Q24" s="12" t="s">
        <v>68</v>
      </c>
      <c r="R24" s="12" t="s">
        <v>69</v>
      </c>
      <c r="S24" s="12" t="s">
        <v>70</v>
      </c>
      <c r="T24" s="12" t="s">
        <v>71</v>
      </c>
      <c r="U24" s="12" t="s">
        <v>74</v>
      </c>
      <c r="V24" s="12" t="s">
        <v>151</v>
      </c>
      <c r="W24" s="79"/>
      <c r="Y24" s="11"/>
      <c r="Z24" s="11"/>
      <c r="AA24" s="11"/>
      <c r="AB24" s="5"/>
      <c r="AC24" s="5"/>
      <c r="AD24" s="84"/>
      <c r="AE24" s="84"/>
    </row>
    <row r="25" spans="1:31" ht="12.75" customHeight="1">
      <c r="A25" s="271"/>
      <c r="B25" s="12"/>
      <c r="C25" s="82"/>
      <c r="D25" s="24"/>
      <c r="E25" s="17"/>
      <c r="F25" s="16"/>
      <c r="G25" s="17"/>
      <c r="H25" s="17"/>
      <c r="I25" s="17"/>
      <c r="J25" s="106" t="s">
        <v>72</v>
      </c>
      <c r="K25" s="94">
        <f>K27</f>
        <v>0</v>
      </c>
      <c r="L25" s="17">
        <f t="shared" ref="L25:V25" si="4">K25+L27</f>
        <v>0</v>
      </c>
      <c r="M25" s="17">
        <f t="shared" si="4"/>
        <v>50</v>
      </c>
      <c r="N25" s="17">
        <f t="shared" si="4"/>
        <v>70</v>
      </c>
      <c r="O25" s="17">
        <f t="shared" si="4"/>
        <v>120</v>
      </c>
      <c r="P25" s="17">
        <f t="shared" si="4"/>
        <v>170</v>
      </c>
      <c r="Q25" s="17">
        <f t="shared" si="4"/>
        <v>240</v>
      </c>
      <c r="R25" s="17">
        <f t="shared" si="4"/>
        <v>310</v>
      </c>
      <c r="S25" s="17">
        <f t="shared" si="4"/>
        <v>380</v>
      </c>
      <c r="T25" s="17">
        <f t="shared" si="4"/>
        <v>450</v>
      </c>
      <c r="U25" s="17">
        <f t="shared" si="4"/>
        <v>520</v>
      </c>
      <c r="V25" s="17">
        <f t="shared" si="4"/>
        <v>590</v>
      </c>
      <c r="W25" s="152"/>
      <c r="X25" s="5"/>
      <c r="Y25" s="5"/>
      <c r="Z25" s="5"/>
      <c r="AA25" s="5"/>
      <c r="AB25" s="5"/>
      <c r="AC25" s="5"/>
      <c r="AD25" s="84"/>
      <c r="AE25" s="84"/>
    </row>
    <row r="26" spans="1:31" ht="12.75" customHeight="1">
      <c r="A26" s="271"/>
      <c r="B26" s="12"/>
      <c r="C26" s="82"/>
      <c r="D26" s="24"/>
      <c r="E26" s="17"/>
      <c r="F26" s="16"/>
      <c r="G26" s="17"/>
      <c r="H26" s="17"/>
      <c r="I26" s="17"/>
      <c r="J26" s="106" t="s">
        <v>75</v>
      </c>
      <c r="K26" s="12" t="s">
        <v>14</v>
      </c>
      <c r="L26" s="28" t="s">
        <v>33</v>
      </c>
      <c r="M26" s="28" t="s">
        <v>25</v>
      </c>
      <c r="N26" s="28" t="s">
        <v>26</v>
      </c>
      <c r="O26" s="28" t="s">
        <v>27</v>
      </c>
      <c r="P26" s="28" t="s">
        <v>28</v>
      </c>
      <c r="Q26" s="28" t="s">
        <v>29</v>
      </c>
      <c r="R26" s="28" t="s">
        <v>30</v>
      </c>
      <c r="S26" s="28" t="s">
        <v>31</v>
      </c>
      <c r="T26" s="28" t="s">
        <v>32</v>
      </c>
      <c r="U26" s="28" t="s">
        <v>73</v>
      </c>
      <c r="V26" s="28" t="s">
        <v>150</v>
      </c>
      <c r="W26" s="152"/>
      <c r="X26" s="5"/>
      <c r="Y26" s="5"/>
      <c r="Z26" s="5"/>
      <c r="AA26" s="5"/>
      <c r="AB26" s="5"/>
      <c r="AC26" s="5"/>
      <c r="AD26" s="84"/>
      <c r="AE26" s="84"/>
    </row>
    <row r="27" spans="1:31" ht="12.75" customHeight="1">
      <c r="A27" s="271"/>
      <c r="B27" s="12"/>
      <c r="C27" s="82"/>
      <c r="D27" s="24"/>
      <c r="E27" s="17"/>
      <c r="F27" s="16"/>
      <c r="G27" s="17"/>
      <c r="H27" s="17"/>
      <c r="I27" s="17"/>
      <c r="J27" s="106" t="s">
        <v>76</v>
      </c>
      <c r="K27" s="94">
        <v>0</v>
      </c>
      <c r="L27" s="94">
        <v>0</v>
      </c>
      <c r="M27" s="94">
        <v>50</v>
      </c>
      <c r="N27" s="94">
        <v>20</v>
      </c>
      <c r="O27" s="94">
        <v>50</v>
      </c>
      <c r="P27" s="94">
        <v>50</v>
      </c>
      <c r="Q27" s="94">
        <v>70</v>
      </c>
      <c r="R27" s="94">
        <v>70</v>
      </c>
      <c r="S27" s="94">
        <v>70</v>
      </c>
      <c r="T27" s="94">
        <v>70</v>
      </c>
      <c r="U27" s="94">
        <v>70</v>
      </c>
      <c r="V27" s="94">
        <v>70</v>
      </c>
      <c r="W27" s="152"/>
      <c r="X27" s="5"/>
      <c r="Y27" s="5"/>
      <c r="Z27" s="5"/>
      <c r="AA27" s="5"/>
      <c r="AB27" s="5"/>
      <c r="AC27" s="5"/>
      <c r="AD27" s="84"/>
      <c r="AE27" s="84"/>
    </row>
    <row r="28" spans="1:31" ht="12.75" customHeight="1">
      <c r="A28" s="271"/>
      <c r="B28" s="34"/>
      <c r="C28" s="82"/>
      <c r="D28" s="24"/>
      <c r="E28" s="17"/>
      <c r="F28" s="16"/>
      <c r="G28" s="17"/>
      <c r="H28" s="17"/>
      <c r="I28" s="17"/>
      <c r="J28" s="171"/>
      <c r="K28" s="156"/>
      <c r="L28" s="171"/>
      <c r="M28" s="172"/>
      <c r="N28" s="171"/>
      <c r="O28" s="171"/>
      <c r="P28" s="113"/>
      <c r="Q28" s="113"/>
      <c r="R28" s="113"/>
      <c r="S28" s="8"/>
      <c r="T28" s="8"/>
      <c r="U28" s="8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ht="12.75" customHeight="1">
      <c r="A29" s="271"/>
      <c r="B29" s="34"/>
      <c r="C29" s="82"/>
      <c r="D29" s="24"/>
      <c r="E29" s="17"/>
      <c r="F29" s="16"/>
      <c r="G29" s="17"/>
      <c r="H29" s="17"/>
      <c r="I29" s="17"/>
    </row>
    <row r="30" spans="1:31" ht="12.75" customHeight="1">
      <c r="A30" s="271"/>
      <c r="B30" s="34"/>
      <c r="C30" s="82"/>
      <c r="D30" s="24"/>
      <c r="E30" s="17"/>
      <c r="F30" s="16"/>
      <c r="G30" s="17"/>
      <c r="H30" s="17"/>
      <c r="I30" s="17"/>
    </row>
    <row r="31" spans="1:31" ht="12.75" customHeight="1">
      <c r="A31" s="271"/>
      <c r="B31" s="34"/>
      <c r="C31" s="82"/>
      <c r="D31" s="24"/>
      <c r="E31" s="16"/>
      <c r="F31" s="16"/>
      <c r="G31" s="16"/>
      <c r="H31" s="16"/>
      <c r="I31" s="17"/>
    </row>
    <row r="32" spans="1:31" ht="12.75" customHeight="1">
      <c r="A32" s="271"/>
      <c r="B32" s="34"/>
      <c r="C32" s="34"/>
      <c r="D32" s="16"/>
      <c r="E32" s="115"/>
      <c r="F32" s="16"/>
      <c r="G32" s="16"/>
      <c r="H32" s="16"/>
      <c r="I32" s="17"/>
    </row>
    <row r="33" spans="1:31" ht="12.75" customHeight="1">
      <c r="A33" s="271"/>
      <c r="B33" s="34"/>
      <c r="C33" s="16" t="s">
        <v>208</v>
      </c>
      <c r="D33" s="16"/>
      <c r="E33" s="115">
        <f>E5+E6+E7+E8+E9+E10+E11+E12+E13+E14+E15+E16+E17+E18+E19+E20+E21</f>
        <v>1092</v>
      </c>
      <c r="F33" s="16"/>
      <c r="G33" s="17">
        <f>G5+G8+G11+G13+G15+G16+G18+G20+G21</f>
        <v>13104</v>
      </c>
      <c r="H33" s="17"/>
      <c r="I33" s="17">
        <f>I5+I8+I11+I13+I15+I16+I18+I20+I21</f>
        <v>2107.12</v>
      </c>
    </row>
    <row r="34" spans="1:31" ht="12.75" customHeight="1">
      <c r="A34" s="271"/>
      <c r="B34" s="12"/>
      <c r="C34" s="16" t="s">
        <v>226</v>
      </c>
      <c r="D34" s="16"/>
      <c r="E34" s="99">
        <f>IF($A$38=0,0,ROUND(E33*$A$4/$A$38,2))</f>
        <v>379.83</v>
      </c>
      <c r="F34" s="16"/>
      <c r="G34" s="115">
        <f>IF($A$38=0,0,ROUND(G33*$A$4/$A$38,2))</f>
        <v>4557.91</v>
      </c>
      <c r="H34" s="115"/>
      <c r="I34" s="115">
        <f>IF($A$38=0,0,ROUND(I33*$A$4/$A$38,2))+I22+I23</f>
        <v>732.91</v>
      </c>
    </row>
    <row r="35" spans="1:31" ht="12.75" customHeight="1">
      <c r="A35" s="271"/>
      <c r="B35" s="12"/>
      <c r="C35" s="122"/>
      <c r="D35" s="16"/>
      <c r="E35" s="17"/>
      <c r="F35" s="16"/>
      <c r="G35" s="16"/>
      <c r="H35" s="16"/>
      <c r="I35" s="16"/>
    </row>
    <row r="36" spans="1:31" ht="12.75" customHeight="1">
      <c r="A36" s="272"/>
      <c r="B36" s="12"/>
      <c r="C36" s="101" t="s">
        <v>222</v>
      </c>
      <c r="D36" s="1"/>
      <c r="E36" s="17">
        <f>G34</f>
        <v>4557.91</v>
      </c>
      <c r="F36" s="1"/>
      <c r="G36" s="1"/>
      <c r="H36" s="1"/>
      <c r="I36" s="17"/>
    </row>
    <row r="37" spans="1:31" ht="12.75" customHeight="1">
      <c r="A37" s="273"/>
      <c r="B37" s="12"/>
      <c r="C37" s="102" t="s">
        <v>223</v>
      </c>
      <c r="D37" s="1"/>
      <c r="E37" s="17">
        <f>ROUND((I72+I74+I78)*12,2)</f>
        <v>732.96</v>
      </c>
      <c r="F37" s="1"/>
      <c r="G37" s="1"/>
      <c r="H37" s="1"/>
      <c r="I37" s="17"/>
    </row>
    <row r="38" spans="1:31" ht="12.75" customHeight="1">
      <c r="A38" s="24">
        <v>23</v>
      </c>
      <c r="B38" s="12"/>
      <c r="C38" s="103" t="s">
        <v>224</v>
      </c>
      <c r="D38" s="1"/>
      <c r="E38" s="28">
        <f>E36-E37</f>
        <v>3824.95</v>
      </c>
      <c r="F38" s="1"/>
      <c r="G38" s="1"/>
      <c r="H38" s="1"/>
      <c r="I38" s="28"/>
    </row>
    <row r="39" spans="1:31" ht="12.75" customHeight="1">
      <c r="A39" s="257" t="s">
        <v>227</v>
      </c>
      <c r="B39" s="12"/>
      <c r="C39" s="104"/>
      <c r="D39" s="39"/>
      <c r="E39" s="17"/>
      <c r="F39" s="16"/>
      <c r="G39" s="17"/>
      <c r="H39" s="17"/>
      <c r="I39" s="17"/>
    </row>
    <row r="40" spans="1:31" ht="12.75" customHeight="1">
      <c r="A40" s="249"/>
      <c r="B40" s="12"/>
      <c r="C40" s="12" t="s">
        <v>57</v>
      </c>
      <c r="D40" s="12"/>
      <c r="E40" s="181" t="s">
        <v>260</v>
      </c>
      <c r="F40" s="12"/>
      <c r="G40" s="28" t="s">
        <v>207</v>
      </c>
      <c r="H40" s="28" t="s">
        <v>23</v>
      </c>
      <c r="I40" s="28" t="s">
        <v>56</v>
      </c>
    </row>
    <row r="41" spans="1:31" ht="12.75" customHeight="1">
      <c r="A41" s="249"/>
      <c r="B41" s="12"/>
      <c r="C41" s="82" t="s">
        <v>51</v>
      </c>
      <c r="D41" s="105"/>
      <c r="E41" s="17">
        <f>IF($A$23=0,0,IF(D24=0,777,IF(D24=1,810,IF(D24=2,900,IF(D24&gt;=3,900+ROUND((D24-2)*220,2))))))</f>
        <v>777</v>
      </c>
      <c r="F41" s="94"/>
      <c r="G41" s="137">
        <f>IF(E38&lt;10000,E38,10000)</f>
        <v>3824.95</v>
      </c>
      <c r="H41" s="137">
        <v>9</v>
      </c>
      <c r="I41" s="137">
        <f>IF(ROUND(G41*H41%,2)-E41&lt;0,0,ROUND(G41*H41%,2)-E41)</f>
        <v>0</v>
      </c>
    </row>
    <row r="42" spans="1:31" ht="12.75" customHeight="1">
      <c r="A42" s="249"/>
      <c r="B42" s="12"/>
      <c r="C42" s="82" t="s">
        <v>52</v>
      </c>
      <c r="D42" s="105"/>
      <c r="E42" s="17"/>
      <c r="F42" s="94"/>
      <c r="G42" s="137">
        <f>IF(E38&lt;12000,E38-G41,2000)</f>
        <v>0</v>
      </c>
      <c r="H42" s="137">
        <v>22</v>
      </c>
      <c r="I42" s="137">
        <f>IF(G42=0,0,IF(ROUND(G42*H42%,2)-ROUND((D27-2)*220,2)&lt;0,0,IF(D27&lt;3,ROUND(G42*H42%,2),IF(D27&lt;5,ROUND(G42*H42%,2)-ROUND((D27-2)*220,2),0))))</f>
        <v>0</v>
      </c>
    </row>
    <row r="43" spans="1:31" ht="12.75" customHeight="1">
      <c r="A43" s="249"/>
      <c r="B43" s="12"/>
      <c r="C43" s="82" t="s">
        <v>52</v>
      </c>
      <c r="D43" s="105"/>
      <c r="E43" s="17"/>
      <c r="F43" s="94"/>
      <c r="G43" s="137">
        <f>IF(E38&lt;20000,E38-G41-G42,8000)</f>
        <v>0</v>
      </c>
      <c r="H43" s="137">
        <v>22</v>
      </c>
      <c r="I43" s="137">
        <f>IF(G43=0,0,IF(D27&lt;5,ROUND(G43*H43%,2)+ROUND(FLOOR(G43,1000)*20/1000,2),IF(D27&lt;13,ROUND(G43*H43%,2)-ROUND((D27-4)*220,2)+ROUND(FLOOR(G43,1000)*20/1000,2))))</f>
        <v>0</v>
      </c>
    </row>
    <row r="44" spans="1:31" ht="12.75" customHeight="1">
      <c r="A44" s="249"/>
      <c r="B44" s="12"/>
      <c r="C44" s="82" t="s">
        <v>53</v>
      </c>
      <c r="D44" s="105"/>
      <c r="E44" s="1"/>
      <c r="F44" s="94"/>
      <c r="G44" s="137">
        <f>IF(E38&lt;30000,E38-G41-G42-G43,10000)</f>
        <v>0</v>
      </c>
      <c r="H44" s="137">
        <v>28</v>
      </c>
      <c r="I44" s="137">
        <f>IF(G44=0,0,ROUND(G44*H44%,2)+ROUND(FLOOR(G44,1000)*20/1000,2))</f>
        <v>0</v>
      </c>
      <c r="J44" s="171"/>
      <c r="K44" s="156"/>
      <c r="L44" s="171"/>
      <c r="M44" s="172"/>
      <c r="N44" s="171"/>
      <c r="O44" s="171"/>
      <c r="P44" s="113"/>
      <c r="Q44" s="113"/>
      <c r="R44" s="113"/>
      <c r="S44" s="8"/>
      <c r="T44" s="8"/>
      <c r="U44" s="8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ht="12.75" customHeight="1">
      <c r="A45" s="249"/>
      <c r="B45" s="12"/>
      <c r="C45" s="82" t="s">
        <v>54</v>
      </c>
      <c r="D45" s="105"/>
      <c r="E45" s="17"/>
      <c r="F45" s="94"/>
      <c r="G45" s="137">
        <f>IF(E38&lt;40000,E38-G41-G42-G43-G44,10000)</f>
        <v>0</v>
      </c>
      <c r="H45" s="137">
        <v>36</v>
      </c>
      <c r="I45" s="137">
        <f>IF(G45=0,0,ROUND(G45*H45%,2)+ROUND(FLOOR(G45,1000)*20/1000,2))</f>
        <v>0</v>
      </c>
    </row>
    <row r="46" spans="1:31" ht="12.75" customHeight="1">
      <c r="A46" s="249"/>
      <c r="B46" s="12"/>
      <c r="C46" s="82" t="s">
        <v>291</v>
      </c>
      <c r="D46" s="105"/>
      <c r="E46" s="17"/>
      <c r="F46" s="94"/>
      <c r="G46" s="137">
        <f>IF(E38&lt;50000,E38-G41-G42-G43-G44-G45,10000)</f>
        <v>0</v>
      </c>
      <c r="H46" s="137">
        <v>44</v>
      </c>
      <c r="I46" s="137">
        <f>IF(G46=0,0,ROUND(G46*H46%,2)+ROUND(FLOOR(G46,1000)*20/1000,2))</f>
        <v>0</v>
      </c>
    </row>
    <row r="47" spans="1:31" ht="12.75" customHeight="1">
      <c r="A47" s="249"/>
      <c r="B47" s="12"/>
      <c r="C47" s="82" t="s">
        <v>291</v>
      </c>
      <c r="D47" s="105"/>
      <c r="E47" s="17"/>
      <c r="F47" s="94"/>
      <c r="G47" s="137">
        <f>IF(E38&gt;50000,E38-G41-G42-G43-G44-G45-G46,0)</f>
        <v>0</v>
      </c>
      <c r="H47" s="137">
        <v>44</v>
      </c>
      <c r="I47" s="137">
        <f>ROUND(G47*H47%,2)</f>
        <v>0</v>
      </c>
    </row>
    <row r="48" spans="1:31" ht="12.75" customHeight="1">
      <c r="A48" s="249"/>
      <c r="B48" s="12"/>
      <c r="C48" s="103" t="s">
        <v>204</v>
      </c>
      <c r="D48" s="105"/>
      <c r="E48" s="17"/>
      <c r="F48" s="17"/>
      <c r="G48" s="17">
        <f>G41+G42+G43+G44+G45+G46+G47</f>
        <v>3824.95</v>
      </c>
      <c r="H48" s="17"/>
      <c r="I48" s="17">
        <f>I41+I42+I43+I44+I45+I46+I47</f>
        <v>0</v>
      </c>
    </row>
    <row r="49" spans="1:31" ht="12.75" customHeight="1">
      <c r="A49" s="249"/>
      <c r="B49" s="12"/>
      <c r="C49" s="82"/>
      <c r="D49" s="105"/>
      <c r="E49" s="17"/>
      <c r="F49" s="16"/>
      <c r="G49" s="17"/>
      <c r="H49" s="17"/>
      <c r="I49" s="17"/>
    </row>
    <row r="50" spans="1:31" ht="12.75" customHeight="1">
      <c r="A50" s="249"/>
      <c r="B50" s="12"/>
      <c r="C50" s="12" t="s">
        <v>12</v>
      </c>
      <c r="D50" s="12"/>
      <c r="E50" s="17"/>
      <c r="F50" s="16">
        <v>12</v>
      </c>
      <c r="G50" s="28">
        <f>IF($A$54=1,0,ROUND(I48/F50,2))</f>
        <v>0</v>
      </c>
      <c r="H50" s="17"/>
      <c r="I50" s="17"/>
    </row>
    <row r="51" spans="1:31" ht="12.75" customHeight="1">
      <c r="A51" s="249"/>
      <c r="B51" s="12"/>
      <c r="C51" s="82"/>
      <c r="D51" s="16"/>
      <c r="E51" s="17"/>
      <c r="F51" s="108"/>
      <c r="G51" s="17"/>
      <c r="H51" s="17"/>
      <c r="I51" s="17"/>
    </row>
    <row r="52" spans="1:31" ht="12.75" customHeight="1">
      <c r="A52" s="249"/>
      <c r="B52" s="12"/>
      <c r="C52" s="82"/>
      <c r="D52" s="16"/>
      <c r="E52" s="17"/>
      <c r="F52" s="16"/>
      <c r="G52" s="17"/>
      <c r="H52" s="17"/>
      <c r="I52" s="17"/>
    </row>
    <row r="53" spans="1:31" ht="12.75" customHeight="1">
      <c r="A53" s="1"/>
      <c r="B53" s="12"/>
      <c r="C53" s="128" t="s">
        <v>258</v>
      </c>
      <c r="D53" s="12"/>
      <c r="E53" s="181"/>
      <c r="F53" s="12"/>
      <c r="G53" s="28" t="s">
        <v>207</v>
      </c>
      <c r="H53" s="28" t="s">
        <v>259</v>
      </c>
      <c r="I53" s="28" t="s">
        <v>257</v>
      </c>
    </row>
    <row r="54" spans="1:31" ht="12.75" customHeight="1">
      <c r="A54" s="24">
        <v>0</v>
      </c>
      <c r="B54" s="12"/>
      <c r="C54" s="1" t="s">
        <v>250</v>
      </c>
      <c r="D54" s="3"/>
      <c r="E54" s="3"/>
      <c r="F54" s="1"/>
      <c r="G54" s="137">
        <f>IF(E38&lt;12000,E38,12000)</f>
        <v>3824.95</v>
      </c>
      <c r="H54" s="180">
        <v>0</v>
      </c>
      <c r="I54" s="137">
        <f>ROUND(G54*H54%,2)</f>
        <v>0</v>
      </c>
    </row>
    <row r="55" spans="1:31" ht="12.75" customHeight="1">
      <c r="A55" s="257" t="s">
        <v>44</v>
      </c>
      <c r="B55" s="12"/>
      <c r="C55" s="1" t="s">
        <v>251</v>
      </c>
      <c r="D55" s="3"/>
      <c r="E55" s="3"/>
      <c r="F55" s="1"/>
      <c r="G55" s="137">
        <f>IF(E38&lt;20000,E38-G54,8000)</f>
        <v>0</v>
      </c>
      <c r="H55" s="180">
        <v>2.2000000000000002</v>
      </c>
      <c r="I55" s="137">
        <f t="shared" ref="I55:I60" si="5">ROUND(G55*H55%,2)</f>
        <v>0</v>
      </c>
    </row>
    <row r="56" spans="1:31" ht="12.75" customHeight="1">
      <c r="A56" s="249"/>
      <c r="B56" s="12"/>
      <c r="C56" s="1" t="s">
        <v>252</v>
      </c>
      <c r="D56" s="3"/>
      <c r="E56" s="3"/>
      <c r="F56" s="1"/>
      <c r="G56" s="137">
        <f>IF(E38&lt;30000,E38-G54-G55,10000)</f>
        <v>0</v>
      </c>
      <c r="H56" s="180">
        <v>5</v>
      </c>
      <c r="I56" s="137">
        <f t="shared" si="5"/>
        <v>0</v>
      </c>
    </row>
    <row r="57" spans="1:31" ht="12.75" customHeight="1">
      <c r="A57" s="249"/>
      <c r="B57" s="12"/>
      <c r="C57" s="1" t="s">
        <v>253</v>
      </c>
      <c r="D57" s="3"/>
      <c r="E57" s="3"/>
      <c r="F57" s="1"/>
      <c r="G57" s="137">
        <f>IF(E38&lt;40000,E38-G54-G55-G56,10000)</f>
        <v>0</v>
      </c>
      <c r="H57" s="180">
        <v>6.5</v>
      </c>
      <c r="I57" s="137">
        <f t="shared" si="5"/>
        <v>0</v>
      </c>
    </row>
    <row r="58" spans="1:31" ht="12.75" customHeight="1">
      <c r="A58" s="249"/>
      <c r="B58" s="12"/>
      <c r="C58" s="1" t="s">
        <v>254</v>
      </c>
      <c r="D58" s="3"/>
      <c r="E58" s="3"/>
      <c r="F58" s="1"/>
      <c r="G58" s="137">
        <f>IF(E38&lt;65000,E38-G54-G55-G56-G57,25000)</f>
        <v>0</v>
      </c>
      <c r="H58" s="180">
        <v>7.5</v>
      </c>
      <c r="I58" s="137">
        <f t="shared" si="5"/>
        <v>0</v>
      </c>
    </row>
    <row r="59" spans="1:31" ht="12.75" customHeight="1">
      <c r="A59" s="249"/>
      <c r="B59" s="12"/>
      <c r="C59" s="1" t="s">
        <v>255</v>
      </c>
      <c r="D59" s="3"/>
      <c r="E59" s="3"/>
      <c r="F59" s="1"/>
      <c r="G59" s="137">
        <f>IF(E38&lt;220000,E38-G54-G55-G56-G57-G58,155000)</f>
        <v>0</v>
      </c>
      <c r="H59" s="180">
        <v>9</v>
      </c>
      <c r="I59" s="137">
        <f t="shared" si="5"/>
        <v>0</v>
      </c>
    </row>
    <row r="60" spans="1:31" ht="12.75" customHeight="1">
      <c r="A60" s="249"/>
      <c r="B60" s="12"/>
      <c r="C60" s="1" t="s">
        <v>256</v>
      </c>
      <c r="D60" s="3"/>
      <c r="E60" s="3"/>
      <c r="F60" s="1"/>
      <c r="G60" s="137">
        <f>IF(E38&gt;220000,E38-G54-G55-G56-G57-G58-G59,0)</f>
        <v>0</v>
      </c>
      <c r="H60" s="180">
        <v>10</v>
      </c>
      <c r="I60" s="137">
        <f t="shared" si="5"/>
        <v>0</v>
      </c>
      <c r="J60" s="171"/>
      <c r="K60" s="156"/>
      <c r="L60" s="171"/>
      <c r="M60" s="172"/>
      <c r="N60" s="171"/>
      <c r="O60" s="171"/>
      <c r="P60" s="113"/>
      <c r="Q60" s="113"/>
      <c r="R60" s="113"/>
      <c r="S60" s="11"/>
      <c r="T60" s="11"/>
      <c r="U60" s="11"/>
      <c r="V60" s="37"/>
      <c r="W60" s="11"/>
      <c r="X60" s="11"/>
      <c r="Y60" s="11"/>
      <c r="Z60" s="11"/>
      <c r="AA60" s="11"/>
      <c r="AB60" s="84"/>
      <c r="AC60" s="84"/>
      <c r="AD60" s="84"/>
      <c r="AE60" s="84"/>
    </row>
    <row r="61" spans="1:31" ht="12.75" customHeight="1">
      <c r="A61" s="249"/>
      <c r="B61" s="12"/>
      <c r="C61" s="1" t="s">
        <v>267</v>
      </c>
      <c r="D61" s="3"/>
      <c r="E61" s="3"/>
      <c r="F61" s="1"/>
      <c r="G61" s="4">
        <f>G54+G55+G56+G57+G58+G59+G60</f>
        <v>3824.95</v>
      </c>
      <c r="H61" s="3"/>
      <c r="I61" s="4">
        <f>I54+I55+I56+I57+I58+I59+I60</f>
        <v>0</v>
      </c>
      <c r="J61" s="171"/>
      <c r="K61" s="156"/>
      <c r="L61" s="171"/>
      <c r="M61" s="172"/>
      <c r="N61" s="171"/>
      <c r="O61" s="171"/>
      <c r="P61" s="113"/>
      <c r="Q61" s="113"/>
      <c r="R61" s="113"/>
      <c r="S61" s="11"/>
      <c r="T61" s="11"/>
      <c r="U61" s="11"/>
      <c r="V61" s="37"/>
      <c r="W61" s="11"/>
      <c r="X61" s="11"/>
      <c r="Y61" s="11"/>
      <c r="Z61" s="11"/>
      <c r="AA61" s="11"/>
      <c r="AB61" s="84"/>
      <c r="AC61" s="84"/>
      <c r="AD61" s="84"/>
      <c r="AE61" s="84"/>
    </row>
    <row r="62" spans="1:31" ht="12.75" customHeight="1">
      <c r="A62" s="249"/>
      <c r="B62" s="12"/>
      <c r="C62" s="34"/>
      <c r="D62" s="16"/>
      <c r="E62" s="16"/>
      <c r="F62" s="16"/>
      <c r="G62" s="16"/>
      <c r="H62" s="16"/>
      <c r="I62" s="16"/>
      <c r="J62" s="171"/>
      <c r="K62" s="156"/>
      <c r="L62" s="171"/>
      <c r="M62" s="172"/>
      <c r="N62" s="171"/>
      <c r="O62" s="171"/>
      <c r="P62" s="113"/>
      <c r="Q62" s="113"/>
      <c r="R62" s="113"/>
      <c r="S62" s="11"/>
      <c r="T62" s="11"/>
      <c r="U62" s="11"/>
      <c r="V62" s="37"/>
      <c r="W62" s="11"/>
      <c r="X62" s="11"/>
      <c r="Y62" s="11"/>
      <c r="Z62" s="11"/>
      <c r="AA62" s="11"/>
      <c r="AB62" s="84"/>
      <c r="AC62" s="84"/>
      <c r="AD62" s="84"/>
      <c r="AE62" s="84"/>
    </row>
    <row r="63" spans="1:31" ht="12.75" customHeight="1">
      <c r="A63" s="249"/>
      <c r="B63" s="12"/>
      <c r="C63" s="126" t="s">
        <v>249</v>
      </c>
      <c r="D63" s="12"/>
      <c r="E63" s="17"/>
      <c r="F63" s="16">
        <v>12</v>
      </c>
      <c r="G63" s="28">
        <f>IF($A$54=1,0,ROUND(I61/F63,2))</f>
        <v>0</v>
      </c>
      <c r="H63" s="17"/>
      <c r="I63" s="17"/>
      <c r="J63" s="171"/>
      <c r="K63" s="156"/>
      <c r="L63" s="171"/>
      <c r="M63" s="172"/>
      <c r="N63" s="171"/>
      <c r="O63" s="171"/>
      <c r="P63" s="113"/>
      <c r="Q63" s="113"/>
      <c r="R63" s="113"/>
      <c r="S63" s="11"/>
      <c r="T63" s="11"/>
      <c r="U63" s="11"/>
      <c r="V63" s="37"/>
      <c r="W63" s="11"/>
      <c r="X63" s="11"/>
      <c r="Y63" s="11"/>
      <c r="Z63" s="11"/>
      <c r="AA63" s="11"/>
      <c r="AB63" s="84"/>
      <c r="AC63" s="84"/>
      <c r="AD63" s="84"/>
      <c r="AE63" s="84"/>
    </row>
    <row r="64" spans="1:31" ht="12.75" customHeight="1">
      <c r="A64" s="249"/>
      <c r="B64" s="12"/>
      <c r="C64" s="1"/>
      <c r="D64" s="1"/>
      <c r="E64" s="1"/>
      <c r="F64" s="1"/>
      <c r="G64" s="1"/>
      <c r="H64" s="1"/>
      <c r="I64" s="1"/>
      <c r="J64" s="171"/>
      <c r="K64" s="156"/>
      <c r="L64" s="171"/>
      <c r="M64" s="172"/>
      <c r="N64" s="171"/>
      <c r="O64" s="171"/>
      <c r="P64" s="113"/>
      <c r="Q64" s="113"/>
      <c r="R64" s="113"/>
      <c r="S64" s="11"/>
      <c r="T64" s="11"/>
      <c r="U64" s="11"/>
      <c r="V64" s="37"/>
      <c r="W64" s="11"/>
      <c r="X64" s="11"/>
      <c r="Y64" s="11"/>
      <c r="Z64" s="11"/>
      <c r="AA64" s="11"/>
      <c r="AB64" s="84"/>
      <c r="AC64" s="84"/>
      <c r="AD64" s="84"/>
      <c r="AE64" s="84"/>
    </row>
    <row r="65" spans="1:31" ht="12.75" customHeight="1">
      <c r="A65" s="10"/>
      <c r="B65" s="12"/>
      <c r="C65" s="258"/>
      <c r="D65" s="258"/>
      <c r="E65" s="258"/>
      <c r="F65" s="235"/>
      <c r="G65" s="235"/>
      <c r="H65" s="235"/>
      <c r="I65" s="235"/>
      <c r="J65" s="171"/>
      <c r="K65" s="156"/>
      <c r="L65" s="171"/>
      <c r="M65" s="172"/>
      <c r="N65" s="171"/>
      <c r="O65" s="171"/>
      <c r="P65" s="113"/>
      <c r="Q65" s="113"/>
      <c r="R65" s="113"/>
      <c r="S65" s="11"/>
      <c r="T65" s="11"/>
      <c r="U65" s="11"/>
      <c r="V65" s="37"/>
      <c r="W65" s="11"/>
      <c r="X65" s="11"/>
      <c r="Y65" s="11"/>
      <c r="Z65" s="11"/>
      <c r="AA65" s="11"/>
      <c r="AB65" s="84"/>
      <c r="AC65" s="84"/>
      <c r="AD65" s="84"/>
      <c r="AE65" s="84"/>
    </row>
    <row r="66" spans="1:31" ht="24" customHeight="1">
      <c r="A66" s="37"/>
      <c r="B66" s="265" t="s">
        <v>90</v>
      </c>
      <c r="C66" s="266"/>
      <c r="D66" s="266"/>
      <c r="E66" s="267"/>
      <c r="F66" s="259"/>
      <c r="G66" s="260"/>
      <c r="H66" s="260"/>
      <c r="I66" s="260"/>
      <c r="J66" s="156"/>
      <c r="K66" s="156"/>
      <c r="L66" s="156"/>
      <c r="M66" s="156"/>
      <c r="N66" s="156"/>
      <c r="O66" s="156"/>
      <c r="P66" s="11"/>
      <c r="Q66" s="11"/>
      <c r="R66" s="11"/>
      <c r="S66" s="11"/>
      <c r="T66" s="11"/>
      <c r="U66" s="11"/>
      <c r="V66" s="37"/>
      <c r="W66" s="11"/>
      <c r="X66" s="11"/>
      <c r="Y66" s="11"/>
      <c r="Z66" s="11"/>
      <c r="AA66" s="11"/>
      <c r="AB66" s="37"/>
      <c r="AC66" s="84"/>
      <c r="AD66" s="84"/>
      <c r="AE66" s="84"/>
    </row>
    <row r="67" spans="1:31" ht="24" customHeight="1">
      <c r="A67" s="37"/>
      <c r="B67" s="265" t="s">
        <v>125</v>
      </c>
      <c r="C67" s="266"/>
      <c r="D67" s="266"/>
      <c r="E67" s="267"/>
      <c r="F67" s="259"/>
      <c r="G67" s="260"/>
      <c r="H67" s="260"/>
      <c r="I67" s="260"/>
      <c r="J67" s="175"/>
      <c r="K67" s="175"/>
      <c r="L67" s="175"/>
      <c r="M67" s="175"/>
      <c r="N67" s="175"/>
      <c r="O67" s="175"/>
      <c r="P67" s="14"/>
      <c r="Q67" s="14"/>
      <c r="R67" s="14"/>
      <c r="S67" s="14"/>
      <c r="T67" s="14"/>
      <c r="U67" s="14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1:31" ht="24" customHeight="1">
      <c r="A68" s="37"/>
      <c r="B68" s="265" t="s">
        <v>46</v>
      </c>
      <c r="C68" s="266"/>
      <c r="D68" s="266"/>
      <c r="E68" s="267"/>
      <c r="F68" s="259"/>
      <c r="G68" s="260"/>
      <c r="H68" s="260"/>
      <c r="I68" s="260"/>
      <c r="J68" s="175"/>
      <c r="K68" s="175"/>
      <c r="L68" s="175"/>
      <c r="M68" s="175"/>
      <c r="N68" s="175"/>
      <c r="O68" s="175"/>
      <c r="P68" s="14"/>
      <c r="Q68" s="14"/>
      <c r="R68" s="14"/>
      <c r="S68" s="14"/>
      <c r="T68" s="14"/>
      <c r="U68" s="14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1:31" ht="24" customHeight="1">
      <c r="A69" s="37"/>
      <c r="B69" s="253" t="s">
        <v>35</v>
      </c>
      <c r="C69" s="253"/>
      <c r="D69" s="253"/>
      <c r="E69" s="253"/>
      <c r="F69" s="253"/>
      <c r="G69" s="253"/>
      <c r="H69" s="253"/>
      <c r="I69" s="253"/>
      <c r="J69" s="261" t="s">
        <v>205</v>
      </c>
      <c r="K69" s="262"/>
      <c r="L69" s="337" t="s">
        <v>191</v>
      </c>
      <c r="M69" s="338"/>
      <c r="N69" s="338"/>
      <c r="O69" s="338"/>
      <c r="P69" s="338"/>
      <c r="Q69" s="339"/>
      <c r="U69" s="14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1:31" ht="12.75" customHeight="1">
      <c r="A70" s="37"/>
      <c r="B70" s="12"/>
      <c r="C70" s="12" t="s">
        <v>38</v>
      </c>
      <c r="D70" s="20" t="s">
        <v>167</v>
      </c>
      <c r="E70" s="12" t="s">
        <v>0</v>
      </c>
      <c r="F70" s="269" t="s">
        <v>37</v>
      </c>
      <c r="G70" s="269"/>
      <c r="H70" s="28" t="s">
        <v>10</v>
      </c>
      <c r="I70" s="28" t="s">
        <v>11</v>
      </c>
      <c r="J70" s="274" t="s">
        <v>92</v>
      </c>
      <c r="K70" s="276" t="s">
        <v>94</v>
      </c>
      <c r="L70" s="331" t="s">
        <v>177</v>
      </c>
      <c r="M70" s="330" t="s">
        <v>178</v>
      </c>
      <c r="N70" s="341"/>
      <c r="O70" s="340" t="s">
        <v>194</v>
      </c>
      <c r="P70" s="340"/>
      <c r="Q70" s="340"/>
      <c r="U70" s="14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1:31" ht="12.75" customHeight="1">
      <c r="A71" s="37"/>
      <c r="B71" s="12" t="s">
        <v>3</v>
      </c>
      <c r="C71" s="82" t="s">
        <v>169</v>
      </c>
      <c r="D71" s="16">
        <f>D5</f>
        <v>1</v>
      </c>
      <c r="E71" s="17">
        <f>ROUND((E5+E6+E7+E8+E9+E10+E11+E12+E13+E14)*($A$4/$A$38)*(A84/4),2)</f>
        <v>379.83</v>
      </c>
      <c r="F71" s="268" t="s">
        <v>56</v>
      </c>
      <c r="G71" s="268"/>
      <c r="H71" s="17"/>
      <c r="I71" s="94">
        <f>G50</f>
        <v>0</v>
      </c>
      <c r="J71" s="275"/>
      <c r="K71" s="277"/>
      <c r="L71" s="331"/>
      <c r="M71" s="330"/>
      <c r="N71" s="341"/>
      <c r="O71" s="141" t="s">
        <v>192</v>
      </c>
      <c r="P71" s="141" t="s">
        <v>193</v>
      </c>
      <c r="Q71" s="140" t="s">
        <v>2</v>
      </c>
      <c r="U71" s="14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 spans="1:31" ht="12.75" customHeight="1">
      <c r="A72" s="37"/>
      <c r="B72" s="12" t="s">
        <v>4</v>
      </c>
      <c r="C72" s="82" t="s">
        <v>243</v>
      </c>
      <c r="D72" s="1"/>
      <c r="E72" s="17">
        <f>ROUND(E15*($A$4/$A$38)*(A84/4),2)</f>
        <v>0</v>
      </c>
      <c r="F72" s="263" t="s">
        <v>124</v>
      </c>
      <c r="G72" s="263"/>
      <c r="H72" s="17">
        <v>1</v>
      </c>
      <c r="I72" s="17">
        <f>ROUND((E71+E72+E73+E74+E75+E76)*H72%,2)</f>
        <v>3.8</v>
      </c>
      <c r="J72" s="275"/>
      <c r="K72" s="277"/>
      <c r="L72" s="330" t="s">
        <v>306</v>
      </c>
      <c r="M72" s="331" t="s">
        <v>274</v>
      </c>
      <c r="N72" s="332"/>
      <c r="O72" s="139">
        <v>2.15</v>
      </c>
      <c r="P72" s="139">
        <v>4.3</v>
      </c>
      <c r="Q72" s="142">
        <f>SUM(O72:P72)</f>
        <v>6.4499999999999993</v>
      </c>
      <c r="W72" s="15"/>
      <c r="X72" s="15"/>
      <c r="Y72" s="15"/>
      <c r="Z72" s="15"/>
      <c r="AA72" s="15"/>
      <c r="AB72" s="15"/>
      <c r="AC72" s="15"/>
      <c r="AD72" s="15"/>
      <c r="AE72" s="15"/>
    </row>
    <row r="73" spans="1:31" ht="12.75" customHeight="1">
      <c r="A73" s="37"/>
      <c r="B73" s="12" t="s">
        <v>5</v>
      </c>
      <c r="C73" s="82" t="s">
        <v>59</v>
      </c>
      <c r="D73" s="16"/>
      <c r="E73" s="17">
        <f>ROUND((E16+E17)*($A$4/$A$38)*(A84/4),2)</f>
        <v>0</v>
      </c>
      <c r="F73" s="263" t="s">
        <v>176</v>
      </c>
      <c r="G73" s="263"/>
      <c r="H73" s="17"/>
      <c r="I73" s="17">
        <f>H22</f>
        <v>0</v>
      </c>
      <c r="J73" s="275"/>
      <c r="K73" s="277"/>
      <c r="L73" s="330"/>
      <c r="M73" s="331" t="s">
        <v>275</v>
      </c>
      <c r="N73" s="332"/>
      <c r="O73" s="139">
        <v>0.4</v>
      </c>
      <c r="P73" s="139">
        <v>0.25</v>
      </c>
      <c r="Q73" s="142">
        <f>SUM(O73:P73)</f>
        <v>0.65</v>
      </c>
      <c r="W73" s="15"/>
      <c r="X73" s="15"/>
      <c r="Y73" s="15"/>
      <c r="Z73" s="15"/>
      <c r="AA73" s="15"/>
      <c r="AB73" s="15"/>
      <c r="AC73" s="15"/>
      <c r="AD73" s="15"/>
      <c r="AE73" s="15"/>
    </row>
    <row r="74" spans="1:31" ht="12.75" customHeight="1">
      <c r="A74" s="37"/>
      <c r="B74" s="12" t="s">
        <v>6</v>
      </c>
      <c r="C74" s="82" t="s">
        <v>58</v>
      </c>
      <c r="D74" s="111"/>
      <c r="E74" s="17">
        <f>ROUND((E18+E19)*($A$4/$A$38)*(A84/4),2)</f>
        <v>0</v>
      </c>
      <c r="F74" s="263" t="s">
        <v>43</v>
      </c>
      <c r="G74" s="263"/>
      <c r="H74" s="17"/>
      <c r="I74" s="17">
        <f>H23</f>
        <v>0</v>
      </c>
      <c r="J74" s="255" t="s">
        <v>93</v>
      </c>
      <c r="K74" s="256"/>
      <c r="L74" s="330"/>
      <c r="M74" s="331" t="s">
        <v>187</v>
      </c>
      <c r="N74" s="332"/>
      <c r="O74" s="139">
        <v>6.67</v>
      </c>
      <c r="P74" s="139">
        <v>13.33</v>
      </c>
      <c r="Q74" s="142">
        <f t="shared" ref="Q74:Q82" si="6">SUM(O74:P74)</f>
        <v>20</v>
      </c>
      <c r="W74" s="15"/>
      <c r="X74" s="15"/>
      <c r="Y74" s="15"/>
      <c r="Z74" s="15"/>
      <c r="AA74" s="15"/>
      <c r="AB74" s="15"/>
      <c r="AC74" s="15"/>
      <c r="AD74" s="15"/>
      <c r="AE74" s="15"/>
    </row>
    <row r="75" spans="1:31" ht="12.75" customHeight="1">
      <c r="A75" s="37"/>
      <c r="B75" s="12" t="s">
        <v>7</v>
      </c>
      <c r="C75" s="82" t="s">
        <v>114</v>
      </c>
      <c r="D75" s="16"/>
      <c r="E75" s="17">
        <f>ROUND(E20*($A$4/$A$38)*(A84/4),2)</f>
        <v>0</v>
      </c>
      <c r="F75" s="263" t="s">
        <v>42</v>
      </c>
      <c r="G75" s="263"/>
      <c r="H75" s="17"/>
      <c r="I75" s="17">
        <v>0</v>
      </c>
      <c r="J75" s="255"/>
      <c r="K75" s="256"/>
      <c r="L75" s="330"/>
      <c r="M75" s="331" t="s">
        <v>290</v>
      </c>
      <c r="N75" s="332"/>
      <c r="O75" s="139">
        <v>3</v>
      </c>
      <c r="P75" s="139">
        <v>3</v>
      </c>
      <c r="Q75" s="142">
        <f t="shared" si="6"/>
        <v>6</v>
      </c>
      <c r="U75" s="14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 spans="1:31" ht="12.75" customHeight="1">
      <c r="A76" s="37"/>
      <c r="B76" s="12" t="s">
        <v>5</v>
      </c>
      <c r="C76" s="1" t="s">
        <v>172</v>
      </c>
      <c r="D76" s="1"/>
      <c r="E76" s="17">
        <f>ROUND(E21*($A$4/$A$38)*(A84/4),2)</f>
        <v>0</v>
      </c>
      <c r="F76" s="263" t="s">
        <v>174</v>
      </c>
      <c r="G76" s="263"/>
      <c r="H76" s="17"/>
      <c r="I76" s="17">
        <f>G63</f>
        <v>0</v>
      </c>
      <c r="J76" s="255" t="s">
        <v>91</v>
      </c>
      <c r="K76" s="254"/>
      <c r="L76" s="330" t="s">
        <v>180</v>
      </c>
      <c r="M76" s="331" t="s">
        <v>181</v>
      </c>
      <c r="N76" s="332"/>
      <c r="O76" s="139">
        <v>1.56</v>
      </c>
      <c r="P76" s="139">
        <v>2.69</v>
      </c>
      <c r="Q76" s="142">
        <f t="shared" si="6"/>
        <v>4.25</v>
      </c>
      <c r="U76" s="14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 spans="1:31" ht="12.75" customHeight="1">
      <c r="A77" s="37"/>
      <c r="B77" s="34"/>
      <c r="C77" s="82" t="s">
        <v>294</v>
      </c>
      <c r="D77" s="16"/>
      <c r="E77" s="99">
        <f>I77</f>
        <v>91.46</v>
      </c>
      <c r="F77" s="263" t="s">
        <v>312</v>
      </c>
      <c r="G77" s="263"/>
      <c r="H77" s="17">
        <v>24.08</v>
      </c>
      <c r="I77" s="17">
        <f>ROUND((E71+E72+E73+E74+E75+E76)*H77%,2)</f>
        <v>91.46</v>
      </c>
      <c r="J77" s="255"/>
      <c r="K77" s="254"/>
      <c r="L77" s="330"/>
      <c r="M77" s="331" t="s">
        <v>182</v>
      </c>
      <c r="N77" s="332"/>
      <c r="O77" s="139" t="s">
        <v>179</v>
      </c>
      <c r="P77" s="139" t="s">
        <v>179</v>
      </c>
      <c r="Q77" s="142">
        <f t="shared" si="6"/>
        <v>0</v>
      </c>
      <c r="U77" s="14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1:31" ht="12.75" customHeight="1">
      <c r="A78" s="37"/>
      <c r="B78" s="34"/>
      <c r="C78" s="131"/>
      <c r="D78" s="100"/>
      <c r="E78" s="17"/>
      <c r="F78" s="263" t="s">
        <v>313</v>
      </c>
      <c r="G78" s="263"/>
      <c r="H78" s="17">
        <v>15.08</v>
      </c>
      <c r="I78" s="17">
        <f>ROUND((E71+E72+E73+E74+E75+E76)*H78%,2)</f>
        <v>57.28</v>
      </c>
      <c r="J78" s="157" t="s">
        <v>107</v>
      </c>
      <c r="K78" s="24" t="s">
        <v>96</v>
      </c>
      <c r="L78" s="330"/>
      <c r="M78" s="331" t="s">
        <v>188</v>
      </c>
      <c r="N78" s="332"/>
      <c r="O78" s="139" t="s">
        <v>179</v>
      </c>
      <c r="P78" s="139" t="s">
        <v>179</v>
      </c>
      <c r="Q78" s="142">
        <f t="shared" si="6"/>
        <v>0</v>
      </c>
      <c r="U78" s="14"/>
      <c r="V78" s="15"/>
      <c r="W78" s="15"/>
      <c r="X78" s="15"/>
      <c r="Y78" s="15"/>
      <c r="Z78" s="15"/>
      <c r="AA78" s="15"/>
      <c r="AB78" s="15"/>
      <c r="AC78" s="15"/>
      <c r="AD78" s="15"/>
      <c r="AE78" s="15"/>
    </row>
    <row r="79" spans="1:31" ht="12.75" customHeight="1">
      <c r="A79" s="37"/>
      <c r="B79" s="12"/>
      <c r="C79" s="82"/>
      <c r="D79" s="16"/>
      <c r="E79" s="17"/>
      <c r="F79" s="263" t="s">
        <v>314</v>
      </c>
      <c r="G79" s="263"/>
      <c r="H79" s="17">
        <f>H77+H78</f>
        <v>39.159999999999997</v>
      </c>
      <c r="I79" s="17">
        <f>I77+I78</f>
        <v>148.74</v>
      </c>
      <c r="J79" s="175"/>
      <c r="K79" s="175"/>
      <c r="L79" s="330"/>
      <c r="M79" s="331" t="s">
        <v>189</v>
      </c>
      <c r="N79" s="332"/>
      <c r="O79" s="139" t="s">
        <v>179</v>
      </c>
      <c r="P79" s="139">
        <v>0.15</v>
      </c>
      <c r="Q79" s="142">
        <f t="shared" si="6"/>
        <v>0.15</v>
      </c>
      <c r="U79" s="14"/>
      <c r="V79" s="15"/>
      <c r="W79" s="15"/>
      <c r="X79" s="15"/>
      <c r="Y79" s="15"/>
      <c r="Z79" s="15"/>
      <c r="AA79" s="15"/>
      <c r="AB79" s="15"/>
      <c r="AC79" s="15"/>
      <c r="AD79" s="15"/>
      <c r="AE79" s="15"/>
    </row>
    <row r="80" spans="1:31" ht="12.75" customHeight="1">
      <c r="A80" s="37"/>
      <c r="B80" s="12"/>
      <c r="C80" s="82" t="s">
        <v>47</v>
      </c>
      <c r="D80" s="16"/>
      <c r="E80" s="99">
        <f>E71+E72+E73+E74+E75+E76</f>
        <v>379.83</v>
      </c>
      <c r="F80" s="263" t="s">
        <v>48</v>
      </c>
      <c r="G80" s="263"/>
      <c r="H80" s="234"/>
      <c r="I80" s="99">
        <f>I71+I72+I73+I74+I75+I76+I78</f>
        <v>61.08</v>
      </c>
      <c r="J80" s="177"/>
      <c r="K80" s="175"/>
      <c r="L80" s="330"/>
      <c r="M80" s="336" t="s">
        <v>190</v>
      </c>
      <c r="N80" s="332"/>
      <c r="O80" s="139">
        <v>0.1</v>
      </c>
      <c r="P80" s="139">
        <v>0.36</v>
      </c>
      <c r="Q80" s="142">
        <f t="shared" si="6"/>
        <v>0.45999999999999996</v>
      </c>
      <c r="U80" s="14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1:31" ht="12.75" customHeight="1">
      <c r="A81" s="37"/>
      <c r="B81" s="12"/>
      <c r="C81" s="82"/>
      <c r="D81" s="16"/>
      <c r="E81" s="17"/>
      <c r="F81" s="263"/>
      <c r="G81" s="263"/>
      <c r="H81" s="263"/>
      <c r="I81" s="17"/>
      <c r="J81" s="177"/>
      <c r="K81" s="178"/>
      <c r="L81" s="220" t="s">
        <v>183</v>
      </c>
      <c r="M81" s="335" t="s">
        <v>184</v>
      </c>
      <c r="N81" s="334"/>
      <c r="O81" s="139">
        <v>0.85</v>
      </c>
      <c r="P81" s="139" t="s">
        <v>179</v>
      </c>
      <c r="Q81" s="142">
        <f t="shared" si="6"/>
        <v>0.85</v>
      </c>
      <c r="AA81" s="15"/>
      <c r="AB81" s="15"/>
      <c r="AC81" s="15"/>
      <c r="AD81" s="15"/>
      <c r="AE81" s="15"/>
    </row>
    <row r="82" spans="1:31" ht="12.75" customHeight="1">
      <c r="A82" s="25"/>
      <c r="B82" s="12"/>
      <c r="C82" s="82" t="s">
        <v>47</v>
      </c>
      <c r="D82" s="16"/>
      <c r="E82" s="17">
        <f>E80</f>
        <v>379.83</v>
      </c>
      <c r="F82" s="263"/>
      <c r="G82" s="263"/>
      <c r="H82" s="263"/>
      <c r="I82" s="17"/>
      <c r="J82" s="177"/>
      <c r="K82" s="178"/>
      <c r="L82" s="220" t="s">
        <v>185</v>
      </c>
      <c r="M82" s="335" t="s">
        <v>186</v>
      </c>
      <c r="N82" s="334"/>
      <c r="O82" s="139">
        <v>0.35</v>
      </c>
      <c r="P82" s="139" t="s">
        <v>179</v>
      </c>
      <c r="Q82" s="142">
        <f t="shared" si="6"/>
        <v>0.35</v>
      </c>
      <c r="U82" s="8"/>
      <c r="V82" s="5"/>
      <c r="W82" s="5"/>
      <c r="X82" s="5"/>
      <c r="Y82" s="5"/>
      <c r="Z82" s="5"/>
      <c r="AA82" s="84"/>
      <c r="AB82" s="15"/>
      <c r="AC82" s="15"/>
      <c r="AD82" s="15"/>
      <c r="AE82" s="15"/>
    </row>
    <row r="83" spans="1:31" ht="12.75" customHeight="1">
      <c r="A83" s="25"/>
      <c r="B83" s="12"/>
      <c r="C83" s="82" t="s">
        <v>48</v>
      </c>
      <c r="D83" s="16"/>
      <c r="E83" s="17">
        <f>I80</f>
        <v>61.08</v>
      </c>
      <c r="F83" s="268"/>
      <c r="G83" s="268"/>
      <c r="H83" s="268"/>
      <c r="I83" s="17"/>
      <c r="J83" s="177"/>
      <c r="K83" s="178"/>
      <c r="L83" s="221" t="s">
        <v>2</v>
      </c>
      <c r="M83" s="333" t="s">
        <v>194</v>
      </c>
      <c r="N83" s="334"/>
      <c r="O83" s="229">
        <f>SUM(O72:O82)</f>
        <v>15.079999999999998</v>
      </c>
      <c r="P83" s="229">
        <f>SUM(P72:P82)</f>
        <v>24.08</v>
      </c>
      <c r="Q83" s="229">
        <f>SUM(Q72:Q82)</f>
        <v>39.160000000000004</v>
      </c>
      <c r="AB83" s="15"/>
      <c r="AC83" s="15"/>
      <c r="AD83" s="15"/>
      <c r="AE83" s="15"/>
    </row>
    <row r="84" spans="1:31" ht="12.75" customHeight="1">
      <c r="A84" s="26">
        <v>4</v>
      </c>
      <c r="B84" s="12"/>
      <c r="C84" s="110" t="s">
        <v>50</v>
      </c>
      <c r="D84" s="16"/>
      <c r="E84" s="99">
        <f>E82-E83</f>
        <v>318.75</v>
      </c>
      <c r="F84" s="278" t="s">
        <v>271</v>
      </c>
      <c r="G84" s="278"/>
      <c r="H84" s="278"/>
      <c r="I84" s="99">
        <f>ROUND((80%*2*(E71+E72+E73+E74+E75+E76)/30*(J84/30)),2)</f>
        <v>0</v>
      </c>
      <c r="J84" s="217">
        <v>0</v>
      </c>
      <c r="K84" s="178"/>
      <c r="L84" s="178"/>
      <c r="M84" s="178"/>
      <c r="N84" s="223"/>
      <c r="O84" s="223"/>
      <c r="AB84" s="15"/>
      <c r="AC84" s="15"/>
      <c r="AD84" s="15"/>
      <c r="AE84" s="15"/>
    </row>
    <row r="85" spans="1:31" ht="12.75" customHeight="1">
      <c r="A85" s="25"/>
      <c r="B85" s="151"/>
      <c r="C85" s="151"/>
      <c r="D85" s="151"/>
      <c r="E85" s="151"/>
      <c r="F85" s="151"/>
      <c r="G85" s="151"/>
      <c r="H85" s="151"/>
      <c r="I85" s="151"/>
      <c r="J85" s="177"/>
      <c r="K85" s="177"/>
      <c r="L85" s="177"/>
      <c r="M85" s="177"/>
      <c r="N85" s="114"/>
      <c r="O85" s="223"/>
      <c r="U85" s="14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1:31" ht="11.25" customHeight="1">
      <c r="A86" s="7"/>
      <c r="B86" s="84"/>
      <c r="C86" s="84"/>
      <c r="D86" s="11"/>
      <c r="E86" s="11"/>
      <c r="F86" s="84"/>
      <c r="G86" s="84"/>
      <c r="H86" s="84"/>
      <c r="I86" s="84"/>
      <c r="J86" s="177"/>
      <c r="K86" s="177"/>
      <c r="L86" s="177"/>
      <c r="M86" s="177"/>
      <c r="N86" s="114"/>
      <c r="O86" s="223"/>
      <c r="U86" s="14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 spans="1:31" ht="12.75" customHeight="1">
      <c r="A87" s="7"/>
      <c r="B87" s="84"/>
      <c r="C87" s="84"/>
      <c r="D87" s="132" t="str">
        <f>'ΜΙΣΘΟΔΟΣΙΑ ΜΟΝΙΜΩΝ'!D102</f>
        <v>Βασίλειος Ι. Χουλιάρας</v>
      </c>
      <c r="E87" s="132"/>
      <c r="F87" s="84"/>
      <c r="G87" s="84"/>
      <c r="H87" s="84"/>
      <c r="I87" s="84"/>
      <c r="J87" s="177"/>
      <c r="K87" s="177"/>
      <c r="L87" s="177"/>
      <c r="M87" s="177"/>
      <c r="N87" s="114"/>
      <c r="O87" s="223"/>
      <c r="U87" s="14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1:31" ht="12.75" customHeight="1">
      <c r="A88" s="7"/>
      <c r="B88" s="84"/>
      <c r="C88" s="84"/>
      <c r="D88" s="132" t="str">
        <f>'ΜΙΣΘΟΔΟΣΙΑ ΜΟΝΙΜΩΝ'!D103</f>
        <v>ΠΕ 03 - Μαθηματικός</v>
      </c>
      <c r="E88" s="132"/>
      <c r="F88" s="84"/>
      <c r="G88" s="84"/>
      <c r="H88" s="84"/>
      <c r="I88" s="84"/>
      <c r="J88" s="177"/>
      <c r="K88" s="177"/>
      <c r="L88" s="177"/>
      <c r="M88" s="177"/>
      <c r="N88" s="114"/>
      <c r="O88" s="223"/>
      <c r="U88" s="14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1:31" ht="12.75" customHeight="1">
      <c r="A89" s="7"/>
      <c r="B89" s="84"/>
      <c r="C89" s="84"/>
      <c r="D89" s="132" t="str">
        <f>'ΜΙΣΘΟΔΟΣΙΑ ΜΟΝΙΜΩΝ'!D104</f>
        <v>Υ/Δντής 1ου Γενικού Λυκείου Αγρινίου</v>
      </c>
      <c r="E89" s="132"/>
      <c r="F89" s="84"/>
      <c r="G89" s="84"/>
      <c r="H89" s="84"/>
      <c r="I89" s="84"/>
      <c r="J89" s="177"/>
      <c r="K89" s="177"/>
      <c r="L89" s="177"/>
      <c r="M89" s="177"/>
      <c r="N89" s="114"/>
      <c r="O89" s="223"/>
      <c r="U89" s="14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 spans="1:31" ht="12.75" customHeight="1">
      <c r="A90" s="7"/>
      <c r="B90" s="84"/>
      <c r="C90" s="84"/>
      <c r="D90" s="132"/>
      <c r="E90" s="132"/>
      <c r="F90" s="84"/>
      <c r="G90" s="84"/>
      <c r="H90" s="84"/>
      <c r="I90" s="84"/>
      <c r="J90" s="177"/>
      <c r="K90" s="177"/>
      <c r="L90" s="177"/>
      <c r="M90" s="177"/>
      <c r="N90" s="114"/>
      <c r="O90" s="223"/>
      <c r="U90" s="14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spans="1:31" ht="12.75" customHeight="1">
      <c r="A91" s="7"/>
      <c r="B91" s="5"/>
      <c r="C91" s="5"/>
      <c r="D91" s="132" t="str">
        <f>'ΜΙΣΘΟΔΟΣΙΑ ΜΟΝΙΜΩΝ'!D106</f>
        <v>Για πληροφορίες, ερωτήματα, σχόλια</v>
      </c>
      <c r="E91" s="133"/>
      <c r="F91" s="5"/>
      <c r="G91" s="5"/>
      <c r="H91" s="5"/>
      <c r="I91" s="5"/>
      <c r="J91" s="177"/>
      <c r="K91" s="171"/>
      <c r="L91" s="171"/>
      <c r="M91" s="171"/>
      <c r="N91" s="113"/>
      <c r="O91" s="223"/>
      <c r="U91" s="11"/>
      <c r="V91" s="84"/>
      <c r="W91" s="84"/>
      <c r="X91" s="15"/>
      <c r="Y91" s="15"/>
      <c r="Z91" s="15"/>
      <c r="AA91" s="15"/>
      <c r="AB91" s="15"/>
      <c r="AC91" s="15"/>
      <c r="AD91" s="15"/>
      <c r="AE91" s="15"/>
    </row>
    <row r="92" spans="1:31" ht="12.75" customHeight="1">
      <c r="A92" s="7"/>
      <c r="B92" s="5"/>
      <c r="C92" s="5"/>
      <c r="D92" s="132" t="str">
        <f>'ΜΙΣΘΟΔΟΣΙΑ ΜΟΝΙΜΩΝ'!D107</f>
        <v>και παρατηρήσεις επικοινωνήστε:</v>
      </c>
      <c r="E92" s="133"/>
      <c r="F92" s="5"/>
      <c r="G92" s="5"/>
      <c r="H92" s="5"/>
      <c r="I92" s="5"/>
      <c r="J92" s="177"/>
      <c r="K92" s="38"/>
      <c r="L92" s="38"/>
      <c r="M92" s="38"/>
      <c r="N92" s="38"/>
      <c r="O92" s="223"/>
      <c r="U92" s="38"/>
      <c r="V92" s="84"/>
      <c r="W92" s="84"/>
      <c r="X92" s="15"/>
      <c r="Y92" s="15"/>
      <c r="Z92" s="15"/>
      <c r="AA92" s="15"/>
      <c r="AB92" s="15"/>
      <c r="AC92" s="15"/>
      <c r="AD92" s="15"/>
      <c r="AE92" s="15"/>
    </row>
    <row r="93" spans="1:31" ht="12.75" customHeight="1">
      <c r="A93" s="7"/>
      <c r="B93" s="5"/>
      <c r="C93" s="5"/>
      <c r="D93" s="132" t="str">
        <f>'ΜΙΣΘΟΔΟΣΙΑ ΜΟΝΙΜΩΝ'!D108</f>
        <v>e-mail: choulvas@sch.gr</v>
      </c>
      <c r="E93" s="133"/>
      <c r="F93" s="5"/>
      <c r="G93" s="5"/>
      <c r="H93" s="5"/>
      <c r="I93" s="5"/>
      <c r="J93" s="177"/>
      <c r="K93" s="171"/>
      <c r="L93" s="171"/>
      <c r="M93" s="171"/>
      <c r="N93" s="113"/>
      <c r="O93" s="223"/>
      <c r="U93" s="11"/>
      <c r="V93" s="84"/>
      <c r="W93" s="84"/>
      <c r="X93" s="15"/>
      <c r="Y93" s="15"/>
      <c r="Z93" s="15"/>
      <c r="AA93" s="15"/>
      <c r="AB93" s="15"/>
      <c r="AC93" s="15"/>
      <c r="AD93" s="15"/>
      <c r="AE93" s="15"/>
    </row>
    <row r="94" spans="1:31" ht="12.75" customHeight="1">
      <c r="A94" s="7"/>
      <c r="B94" s="5"/>
      <c r="C94" s="5"/>
      <c r="D94" s="132" t="str">
        <f>'ΜΙΣΘΟΔΟΣΙΑ ΜΟΝΙΜΩΝ'!D109</f>
        <v>τηλ.: 6976285698</v>
      </c>
      <c r="E94" s="133"/>
      <c r="F94" s="5"/>
      <c r="G94" s="5"/>
      <c r="H94" s="5"/>
      <c r="I94" s="5"/>
      <c r="J94" s="177"/>
      <c r="K94" s="178"/>
      <c r="L94" s="178"/>
      <c r="M94" s="178"/>
      <c r="N94" s="223"/>
      <c r="O94" s="223"/>
    </row>
    <row r="95" spans="1:31" ht="12.75" customHeight="1">
      <c r="A95" s="7"/>
      <c r="B95" s="5"/>
      <c r="C95" s="5"/>
      <c r="D95" s="5"/>
      <c r="E95" s="5"/>
      <c r="F95" s="5"/>
      <c r="G95" s="5"/>
      <c r="H95" s="5"/>
      <c r="I95" s="5"/>
      <c r="J95" s="178"/>
      <c r="K95" s="178"/>
      <c r="L95" s="178"/>
      <c r="M95" s="178"/>
      <c r="N95" s="223"/>
      <c r="O95" s="223"/>
    </row>
    <row r="96" spans="1:31" ht="12.75" customHeight="1">
      <c r="A96" s="7"/>
      <c r="B96" s="5"/>
      <c r="C96" s="5"/>
      <c r="D96" s="5"/>
      <c r="E96" s="5"/>
      <c r="F96" s="5"/>
      <c r="G96" s="5"/>
      <c r="H96" s="5"/>
      <c r="I96" s="5"/>
      <c r="J96" s="178"/>
      <c r="K96" s="178"/>
      <c r="L96" s="178"/>
      <c r="M96" s="178"/>
      <c r="N96" s="223"/>
      <c r="O96" s="223"/>
    </row>
    <row r="97" spans="1:15" ht="12.75" customHeight="1">
      <c r="A97" s="7"/>
      <c r="B97" s="5"/>
      <c r="C97" s="5"/>
      <c r="D97" s="5"/>
      <c r="E97" s="5"/>
      <c r="F97" s="5"/>
      <c r="G97" s="5"/>
      <c r="H97" s="5"/>
      <c r="I97" s="5"/>
      <c r="J97" s="178"/>
      <c r="K97" s="178"/>
      <c r="L97" s="178"/>
      <c r="M97" s="178"/>
      <c r="N97" s="223"/>
      <c r="O97" s="223"/>
    </row>
    <row r="98" spans="1:15" ht="12.75" customHeight="1">
      <c r="A98" s="7"/>
      <c r="K98" s="176"/>
      <c r="L98" s="176"/>
      <c r="M98" s="176"/>
    </row>
    <row r="99" spans="1:15" ht="12.75" customHeight="1">
      <c r="A99" s="7"/>
      <c r="K99" s="176"/>
      <c r="L99" s="176"/>
      <c r="M99" s="176"/>
    </row>
    <row r="100" spans="1:15" ht="12.75" customHeight="1">
      <c r="A100" s="7"/>
      <c r="K100" s="176"/>
      <c r="L100" s="176"/>
      <c r="M100" s="176"/>
    </row>
    <row r="101" spans="1:15" ht="12.75" customHeight="1">
      <c r="A101" s="7"/>
      <c r="K101" s="176"/>
      <c r="L101" s="176"/>
      <c r="M101" s="176"/>
    </row>
    <row r="102" spans="1:15" ht="12.75" customHeight="1">
      <c r="A102" s="5"/>
    </row>
    <row r="103" spans="1:15">
      <c r="A103" s="5"/>
    </row>
    <row r="104" spans="1:15">
      <c r="A104" s="5"/>
      <c r="B104" s="15"/>
      <c r="C104" s="15"/>
      <c r="D104" s="15"/>
      <c r="E104" s="15"/>
      <c r="F104" s="15"/>
      <c r="G104" s="15"/>
      <c r="H104" s="15"/>
      <c r="I104" s="15"/>
    </row>
    <row r="105" spans="1:15">
      <c r="A105" s="5"/>
    </row>
    <row r="106" spans="1:15">
      <c r="A106" s="5"/>
    </row>
    <row r="107" spans="1:15">
      <c r="A107" s="5"/>
    </row>
    <row r="108" spans="1:15">
      <c r="A108" s="5"/>
    </row>
    <row r="109" spans="1:15">
      <c r="A109" s="5"/>
    </row>
    <row r="110" spans="1:15">
      <c r="A110" s="5"/>
    </row>
    <row r="111" spans="1:15">
      <c r="A111" s="5"/>
    </row>
    <row r="112" spans="1:15">
      <c r="A112" s="5"/>
    </row>
    <row r="113" spans="1:1">
      <c r="A113" s="5"/>
    </row>
    <row r="114" spans="1:1">
      <c r="A114" s="5"/>
    </row>
    <row r="115" spans="1:1">
      <c r="A115" s="5"/>
    </row>
    <row r="116" spans="1:1">
      <c r="A116" s="5"/>
    </row>
    <row r="117" spans="1:1">
      <c r="A117" s="5"/>
    </row>
    <row r="118" spans="1:1">
      <c r="A118" s="5"/>
    </row>
  </sheetData>
  <mergeCells count="100">
    <mergeCell ref="A24:A37"/>
    <mergeCell ref="A55:A64"/>
    <mergeCell ref="G11:G12"/>
    <mergeCell ref="A5:A21"/>
    <mergeCell ref="B11:B12"/>
    <mergeCell ref="B8:B10"/>
    <mergeCell ref="D16:D17"/>
    <mergeCell ref="F16:F17"/>
    <mergeCell ref="F8:F10"/>
    <mergeCell ref="F13:F14"/>
    <mergeCell ref="B5:B7"/>
    <mergeCell ref="A39:A52"/>
    <mergeCell ref="J1:AE1"/>
    <mergeCell ref="J2:AE2"/>
    <mergeCell ref="J3:AE3"/>
    <mergeCell ref="AA14:AE14"/>
    <mergeCell ref="B1:I1"/>
    <mergeCell ref="B2:I2"/>
    <mergeCell ref="I11:I12"/>
    <mergeCell ref="G8:G10"/>
    <mergeCell ref="I8:I10"/>
    <mergeCell ref="H5:H14"/>
    <mergeCell ref="G5:G7"/>
    <mergeCell ref="J16:K16"/>
    <mergeCell ref="I13:I14"/>
    <mergeCell ref="J14:K14"/>
    <mergeCell ref="I5:I7"/>
    <mergeCell ref="H16:H17"/>
    <mergeCell ref="B3:I3"/>
    <mergeCell ref="AC19:AE19"/>
    <mergeCell ref="G13:G14"/>
    <mergeCell ref="P14:R14"/>
    <mergeCell ref="S14:U14"/>
    <mergeCell ref="V14:Z14"/>
    <mergeCell ref="J15:K15"/>
    <mergeCell ref="I16:I17"/>
    <mergeCell ref="I18:I19"/>
    <mergeCell ref="F5:F7"/>
    <mergeCell ref="B68:E68"/>
    <mergeCell ref="C65:E65"/>
    <mergeCell ref="B13:B14"/>
    <mergeCell ref="H18:H19"/>
    <mergeCell ref="G16:G17"/>
    <mergeCell ref="D18:D19"/>
    <mergeCell ref="D5:D15"/>
    <mergeCell ref="F11:F12"/>
    <mergeCell ref="B66:E66"/>
    <mergeCell ref="B67:E67"/>
    <mergeCell ref="F81:H81"/>
    <mergeCell ref="J19:K19"/>
    <mergeCell ref="J20:K20"/>
    <mergeCell ref="J21:K21"/>
    <mergeCell ref="F68:I68"/>
    <mergeCell ref="F65:I65"/>
    <mergeCell ref="F18:F19"/>
    <mergeCell ref="G18:G19"/>
    <mergeCell ref="J76:J77"/>
    <mergeCell ref="F70:G70"/>
    <mergeCell ref="F82:H82"/>
    <mergeCell ref="F80:H80"/>
    <mergeCell ref="F77:G77"/>
    <mergeCell ref="F84:H84"/>
    <mergeCell ref="F66:I66"/>
    <mergeCell ref="B69:I69"/>
    <mergeCell ref="F79:G79"/>
    <mergeCell ref="F73:G73"/>
    <mergeCell ref="F83:H83"/>
    <mergeCell ref="F75:G75"/>
    <mergeCell ref="F78:G78"/>
    <mergeCell ref="F67:I67"/>
    <mergeCell ref="F71:G71"/>
    <mergeCell ref="F74:G74"/>
    <mergeCell ref="F76:G76"/>
    <mergeCell ref="F72:G72"/>
    <mergeCell ref="L69:Q69"/>
    <mergeCell ref="J70:J73"/>
    <mergeCell ref="K70:K73"/>
    <mergeCell ref="K74:K75"/>
    <mergeCell ref="J74:J75"/>
    <mergeCell ref="M75:N75"/>
    <mergeCell ref="L72:L75"/>
    <mergeCell ref="J69:K69"/>
    <mergeCell ref="M77:N77"/>
    <mergeCell ref="L76:L80"/>
    <mergeCell ref="L70:L71"/>
    <mergeCell ref="O70:Q70"/>
    <mergeCell ref="M70:N71"/>
    <mergeCell ref="M72:N72"/>
    <mergeCell ref="M73:N73"/>
    <mergeCell ref="M74:N74"/>
    <mergeCell ref="L19:R19"/>
    <mergeCell ref="T19:Z19"/>
    <mergeCell ref="K76:K77"/>
    <mergeCell ref="M82:N82"/>
    <mergeCell ref="M83:N83"/>
    <mergeCell ref="M76:N76"/>
    <mergeCell ref="M81:N81"/>
    <mergeCell ref="M78:N78"/>
    <mergeCell ref="M79:N79"/>
    <mergeCell ref="M80:N80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E714"/>
  <sheetViews>
    <sheetView workbookViewId="0">
      <selection activeCell="B1" sqref="B1:I1"/>
    </sheetView>
  </sheetViews>
  <sheetFormatPr defaultRowHeight="12.75"/>
  <cols>
    <col min="1" max="2" width="3.7109375" customWidth="1"/>
    <col min="3" max="3" width="34.7109375" customWidth="1"/>
    <col min="4" max="9" width="10.7109375" customWidth="1"/>
    <col min="10" max="10" width="15.7109375" style="2" customWidth="1"/>
    <col min="11" max="13" width="15.5703125" style="2" customWidth="1"/>
    <col min="14" max="14" width="15.7109375" style="2" customWidth="1"/>
    <col min="15" max="18" width="15.5703125" style="2" customWidth="1"/>
    <col min="19" max="19" width="15.85546875" style="2" customWidth="1"/>
    <col min="20" max="21" width="15.5703125" style="2" customWidth="1"/>
    <col min="22" max="27" width="15.5703125" customWidth="1"/>
    <col min="28" max="28" width="16.7109375" customWidth="1"/>
    <col min="29" max="31" width="15.5703125" customWidth="1"/>
  </cols>
  <sheetData>
    <row r="1" spans="1:31" ht="28.5" customHeight="1">
      <c r="A1" s="31"/>
      <c r="B1" s="250" t="s">
        <v>269</v>
      </c>
      <c r="C1" s="251"/>
      <c r="D1" s="251"/>
      <c r="E1" s="251"/>
      <c r="F1" s="251"/>
      <c r="G1" s="251"/>
      <c r="H1" s="251"/>
      <c r="I1" s="251"/>
      <c r="J1" s="240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24" customHeight="1">
      <c r="A2" s="22"/>
      <c r="B2" s="344" t="s">
        <v>264</v>
      </c>
      <c r="C2" s="344"/>
      <c r="D2" s="344"/>
      <c r="E2" s="344"/>
      <c r="F2" s="344"/>
      <c r="G2" s="344"/>
      <c r="H2" s="344"/>
      <c r="I2" s="344"/>
      <c r="J2" s="345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</row>
    <row r="3" spans="1:31" s="9" customFormat="1" ht="24" customHeight="1">
      <c r="A3" s="23"/>
      <c r="B3" s="253" t="s">
        <v>36</v>
      </c>
      <c r="C3" s="253"/>
      <c r="D3" s="253"/>
      <c r="E3" s="253"/>
      <c r="F3" s="253"/>
      <c r="G3" s="253"/>
      <c r="H3" s="253"/>
      <c r="I3" s="253"/>
      <c r="J3" s="245" t="s">
        <v>325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47"/>
    </row>
    <row r="4" spans="1:31" s="14" customFormat="1" ht="12.75" customHeight="1">
      <c r="A4" s="21">
        <v>1</v>
      </c>
      <c r="B4" s="12"/>
      <c r="C4" s="12" t="s">
        <v>38</v>
      </c>
      <c r="D4" s="20" t="s">
        <v>167</v>
      </c>
      <c r="E4" s="12" t="s">
        <v>0</v>
      </c>
      <c r="F4" s="12" t="s">
        <v>1</v>
      </c>
      <c r="G4" s="12" t="s">
        <v>2</v>
      </c>
      <c r="H4" s="12" t="s">
        <v>10</v>
      </c>
      <c r="I4" s="12" t="s">
        <v>11</v>
      </c>
      <c r="J4" s="207" t="s">
        <v>24</v>
      </c>
      <c r="K4" s="190" t="s">
        <v>215</v>
      </c>
      <c r="L4" s="190" t="s">
        <v>237</v>
      </c>
      <c r="M4" s="190" t="s">
        <v>238</v>
      </c>
      <c r="N4" s="190" t="s">
        <v>239</v>
      </c>
      <c r="O4" s="190" t="s">
        <v>240</v>
      </c>
      <c r="P4" s="190" t="s">
        <v>241</v>
      </c>
      <c r="Q4" s="190" t="s">
        <v>242</v>
      </c>
      <c r="R4" s="190" t="s">
        <v>220</v>
      </c>
      <c r="S4" s="190" t="s">
        <v>221</v>
      </c>
      <c r="T4" s="190" t="s">
        <v>216</v>
      </c>
      <c r="U4" s="190" t="s">
        <v>217</v>
      </c>
      <c r="V4" s="190" t="s">
        <v>218</v>
      </c>
      <c r="W4" s="191" t="s">
        <v>219</v>
      </c>
      <c r="X4" s="191"/>
      <c r="Y4" s="191"/>
      <c r="Z4" s="191"/>
      <c r="AA4" s="191"/>
      <c r="AB4" s="191"/>
      <c r="AC4" s="192"/>
      <c r="AD4" s="193"/>
      <c r="AE4" s="193"/>
    </row>
    <row r="5" spans="1:31" s="5" customFormat="1" ht="12.75" customHeight="1">
      <c r="A5" s="257" t="s">
        <v>144</v>
      </c>
      <c r="B5" s="235">
        <f>IF(A23=1,1,0)</f>
        <v>1</v>
      </c>
      <c r="C5" s="82" t="s">
        <v>245</v>
      </c>
      <c r="D5" s="233">
        <v>13</v>
      </c>
      <c r="E5" s="17">
        <f>IF(D5=1,K11,IF(D5=2,L11,IF(D5=3,M11,IF(D5=4,N11,IF(D5=5,O11,IF(D5=6,P11,IF(D5=7,Q11,IF(D5=8,R11,0))))))))*B5*IF(D18=11,1.2,1)</f>
        <v>0</v>
      </c>
      <c r="F5" s="235">
        <v>12</v>
      </c>
      <c r="G5" s="234">
        <f>ROUND((E5+E6+E7)*F5,2)</f>
        <v>21600</v>
      </c>
      <c r="H5" s="234">
        <v>19.72</v>
      </c>
      <c r="I5" s="234">
        <f>ROUND(G5*H5%,2)</f>
        <v>4259.5200000000004</v>
      </c>
      <c r="J5" s="227" t="s">
        <v>100</v>
      </c>
      <c r="K5" s="194">
        <v>1</v>
      </c>
      <c r="L5" s="194">
        <v>2</v>
      </c>
      <c r="M5" s="194">
        <v>3</v>
      </c>
      <c r="N5" s="194">
        <v>4</v>
      </c>
      <c r="O5" s="194">
        <v>5</v>
      </c>
      <c r="P5" s="194">
        <v>6</v>
      </c>
      <c r="Q5" s="194">
        <v>7</v>
      </c>
      <c r="R5" s="194">
        <v>8</v>
      </c>
      <c r="S5" s="194">
        <v>9</v>
      </c>
      <c r="T5" s="194">
        <v>10</v>
      </c>
      <c r="U5" s="194">
        <v>11</v>
      </c>
      <c r="V5" s="194">
        <v>12</v>
      </c>
      <c r="W5" s="192">
        <v>13</v>
      </c>
      <c r="X5" s="192"/>
      <c r="Y5" s="192"/>
      <c r="Z5" s="192"/>
      <c r="AA5" s="192"/>
      <c r="AB5" s="192"/>
      <c r="AC5" s="192"/>
      <c r="AD5" s="195"/>
      <c r="AE5" s="195"/>
    </row>
    <row r="6" spans="1:31" ht="12.75" customHeight="1">
      <c r="A6" s="257"/>
      <c r="B6" s="235"/>
      <c r="C6" s="82" t="s">
        <v>246</v>
      </c>
      <c r="D6" s="233"/>
      <c r="E6" s="17">
        <f>IF(D5=9,S11,IF(D5=10,T11,IF(D5=11,U11,IF(D5=12,V11,IF(D5=13,W11,IF(D5=14,X11,IF(D5=15,Y11,IF(D5=16,Z11,0))))))))*B5*IF(D18=11,1.2,1)</f>
        <v>1800</v>
      </c>
      <c r="F6" s="235"/>
      <c r="G6" s="234"/>
      <c r="H6" s="235"/>
      <c r="I6" s="234"/>
      <c r="J6" s="227" t="s">
        <v>101</v>
      </c>
      <c r="K6" s="196">
        <v>780</v>
      </c>
      <c r="L6" s="196">
        <f>ROUND(K6+$K$6*0.0551,0)</f>
        <v>823</v>
      </c>
      <c r="M6" s="196">
        <f t="shared" ref="M6:W6" si="0">ROUND(L6+$K$6*0.0551,0)</f>
        <v>866</v>
      </c>
      <c r="N6" s="196">
        <f t="shared" si="0"/>
        <v>909</v>
      </c>
      <c r="O6" s="196">
        <f t="shared" si="0"/>
        <v>952</v>
      </c>
      <c r="P6" s="196">
        <f t="shared" si="0"/>
        <v>995</v>
      </c>
      <c r="Q6" s="196">
        <f t="shared" si="0"/>
        <v>1038</v>
      </c>
      <c r="R6" s="196">
        <f t="shared" si="0"/>
        <v>1081</v>
      </c>
      <c r="S6" s="196">
        <f t="shared" si="0"/>
        <v>1124</v>
      </c>
      <c r="T6" s="196">
        <f t="shared" si="0"/>
        <v>1167</v>
      </c>
      <c r="U6" s="196">
        <f t="shared" si="0"/>
        <v>1210</v>
      </c>
      <c r="V6" s="196">
        <f t="shared" si="0"/>
        <v>1253</v>
      </c>
      <c r="W6" s="196">
        <f t="shared" si="0"/>
        <v>1296</v>
      </c>
      <c r="X6" s="196"/>
      <c r="Y6" s="196"/>
      <c r="Z6" s="196"/>
      <c r="AA6" s="196"/>
      <c r="AB6" s="196"/>
      <c r="AC6" s="196"/>
      <c r="AD6" s="197"/>
      <c r="AE6" s="197"/>
    </row>
    <row r="7" spans="1:31" ht="12.75" customHeight="1">
      <c r="A7" s="257"/>
      <c r="B7" s="235"/>
      <c r="C7" s="82" t="s">
        <v>244</v>
      </c>
      <c r="D7" s="233"/>
      <c r="E7" s="17">
        <f>IF(D5=17,AA11,IF(D5=18,AB11,IF(D5=19,AC11,0)))*B5*IF(D18=11,1.2,1)</f>
        <v>0</v>
      </c>
      <c r="F7" s="235"/>
      <c r="G7" s="234"/>
      <c r="H7" s="235"/>
      <c r="I7" s="235"/>
      <c r="J7" s="227" t="s">
        <v>102</v>
      </c>
      <c r="K7" s="198">
        <f>ROUND(K6*1.1,0)</f>
        <v>858</v>
      </c>
      <c r="L7" s="196">
        <f>ROUND(K7+$K$7*0.0699,0)</f>
        <v>918</v>
      </c>
      <c r="M7" s="196">
        <f t="shared" ref="M7:W7" si="1">ROUND(L7+$K$7*0.0699,0)</f>
        <v>978</v>
      </c>
      <c r="N7" s="196">
        <f t="shared" si="1"/>
        <v>1038</v>
      </c>
      <c r="O7" s="196">
        <f t="shared" si="1"/>
        <v>1098</v>
      </c>
      <c r="P7" s="196">
        <f t="shared" si="1"/>
        <v>1158</v>
      </c>
      <c r="Q7" s="196">
        <f t="shared" si="1"/>
        <v>1218</v>
      </c>
      <c r="R7" s="196">
        <f t="shared" si="1"/>
        <v>1278</v>
      </c>
      <c r="S7" s="196">
        <f t="shared" si="1"/>
        <v>1338</v>
      </c>
      <c r="T7" s="196">
        <f t="shared" si="1"/>
        <v>1398</v>
      </c>
      <c r="U7" s="196">
        <f t="shared" si="1"/>
        <v>1458</v>
      </c>
      <c r="V7" s="196">
        <f t="shared" si="1"/>
        <v>1518</v>
      </c>
      <c r="W7" s="196">
        <f t="shared" si="1"/>
        <v>1578</v>
      </c>
      <c r="X7" s="196"/>
      <c r="Y7" s="196"/>
      <c r="Z7" s="196"/>
      <c r="AA7" s="196"/>
      <c r="AB7" s="196"/>
      <c r="AC7" s="196"/>
      <c r="AD7" s="199"/>
      <c r="AE7" s="199"/>
    </row>
    <row r="8" spans="1:31" ht="12.75" customHeight="1">
      <c r="A8" s="257"/>
      <c r="B8" s="235">
        <f>IF(A23=2,1,0)</f>
        <v>0</v>
      </c>
      <c r="C8" s="82" t="s">
        <v>245</v>
      </c>
      <c r="D8" s="233"/>
      <c r="E8" s="17">
        <f>IF(D5=1,K10,IF(D5=2,L10,IF(D5=3,M10,IF(D5=4,N10,IF(D5=5,O10,IF(D5=6,P10,IF(D5=7,Q10,IF(D5=8,R10,0))))))))*B8*IF(D18=11,1.2,1)</f>
        <v>0</v>
      </c>
      <c r="F8" s="235">
        <v>12</v>
      </c>
      <c r="G8" s="234">
        <f>ROUND((E8+E9+E10)*F8,2)</f>
        <v>0</v>
      </c>
      <c r="H8" s="235"/>
      <c r="I8" s="234">
        <f>ROUND(G8*H5%,2)</f>
        <v>0</v>
      </c>
      <c r="J8" s="227" t="s">
        <v>24</v>
      </c>
      <c r="K8" s="190" t="s">
        <v>126</v>
      </c>
      <c r="L8" s="190" t="s">
        <v>127</v>
      </c>
      <c r="M8" s="190" t="s">
        <v>128</v>
      </c>
      <c r="N8" s="190" t="s">
        <v>130</v>
      </c>
      <c r="O8" s="190" t="s">
        <v>131</v>
      </c>
      <c r="P8" s="190" t="s">
        <v>133</v>
      </c>
      <c r="Q8" s="190" t="s">
        <v>134</v>
      </c>
      <c r="R8" s="190" t="s">
        <v>139</v>
      </c>
      <c r="S8" s="190" t="s">
        <v>141</v>
      </c>
      <c r="T8" s="190" t="s">
        <v>142</v>
      </c>
      <c r="U8" s="190" t="s">
        <v>138</v>
      </c>
      <c r="V8" s="190" t="s">
        <v>229</v>
      </c>
      <c r="W8" s="191" t="s">
        <v>230</v>
      </c>
      <c r="X8" s="191" t="s">
        <v>231</v>
      </c>
      <c r="Y8" s="191" t="s">
        <v>232</v>
      </c>
      <c r="Z8" s="191" t="s">
        <v>233</v>
      </c>
      <c r="AA8" s="191" t="s">
        <v>234</v>
      </c>
      <c r="AB8" s="191" t="s">
        <v>235</v>
      </c>
      <c r="AC8" s="191" t="s">
        <v>236</v>
      </c>
      <c r="AD8" s="200"/>
      <c r="AE8" s="200"/>
    </row>
    <row r="9" spans="1:31" ht="12.75" customHeight="1">
      <c r="A9" s="257"/>
      <c r="B9" s="235"/>
      <c r="C9" s="82" t="s">
        <v>246</v>
      </c>
      <c r="D9" s="233">
        <v>0</v>
      </c>
      <c r="E9" s="17">
        <f>IF(D5=9,S10,IF(D5=10,T10,IF(D5=11,U10,IF(D5=12,V10,IF(D5=13,W10,IF(D5=14,X10,IF(D5=15,Y10,IF(D5=16,Z10,0))))))))*B8*IF(D18=11,1.2,1)</f>
        <v>0</v>
      </c>
      <c r="F9" s="235"/>
      <c r="G9" s="234"/>
      <c r="H9" s="235"/>
      <c r="I9" s="234"/>
      <c r="J9" s="227" t="s">
        <v>100</v>
      </c>
      <c r="K9" s="194">
        <v>1</v>
      </c>
      <c r="L9" s="194">
        <v>2</v>
      </c>
      <c r="M9" s="194">
        <v>3</v>
      </c>
      <c r="N9" s="194">
        <v>4</v>
      </c>
      <c r="O9" s="194">
        <v>5</v>
      </c>
      <c r="P9" s="194">
        <v>6</v>
      </c>
      <c r="Q9" s="194">
        <v>7</v>
      </c>
      <c r="R9" s="194">
        <v>8</v>
      </c>
      <c r="S9" s="194">
        <v>9</v>
      </c>
      <c r="T9" s="194">
        <v>10</v>
      </c>
      <c r="U9" s="194">
        <v>11</v>
      </c>
      <c r="V9" s="194">
        <v>12</v>
      </c>
      <c r="W9" s="192">
        <v>13</v>
      </c>
      <c r="X9" s="192">
        <v>14</v>
      </c>
      <c r="Y9" s="192">
        <v>15</v>
      </c>
      <c r="Z9" s="192">
        <v>16</v>
      </c>
      <c r="AA9" s="192">
        <v>17</v>
      </c>
      <c r="AB9" s="192">
        <v>18</v>
      </c>
      <c r="AC9" s="192">
        <v>19</v>
      </c>
      <c r="AD9" s="195"/>
      <c r="AE9" s="195"/>
    </row>
    <row r="10" spans="1:31" ht="12.75" customHeight="1">
      <c r="A10" s="257"/>
      <c r="B10" s="235"/>
      <c r="C10" s="82" t="s">
        <v>244</v>
      </c>
      <c r="D10" s="249"/>
      <c r="E10" s="17">
        <f>IF(D5=17,AA10,IF(D5=18,AB10,IF(D5=19,AC10,0)))*B8*IF(D18=11,1.2,1)</f>
        <v>0</v>
      </c>
      <c r="F10" s="235"/>
      <c r="G10" s="234"/>
      <c r="H10" s="235"/>
      <c r="I10" s="235"/>
      <c r="J10" s="227" t="s">
        <v>103</v>
      </c>
      <c r="K10" s="198">
        <f>ROUND(K6*1.33,0)</f>
        <v>1037</v>
      </c>
      <c r="L10" s="196">
        <f>ROUND(K10+$K$10*0.053,0)</f>
        <v>1092</v>
      </c>
      <c r="M10" s="196">
        <f t="shared" ref="M10:AC10" si="2">ROUND(L10+$K$10*0.053,0)</f>
        <v>1147</v>
      </c>
      <c r="N10" s="196">
        <f t="shared" si="2"/>
        <v>1202</v>
      </c>
      <c r="O10" s="196">
        <f t="shared" si="2"/>
        <v>1257</v>
      </c>
      <c r="P10" s="196">
        <f t="shared" si="2"/>
        <v>1312</v>
      </c>
      <c r="Q10" s="196">
        <f t="shared" si="2"/>
        <v>1367</v>
      </c>
      <c r="R10" s="196">
        <f t="shared" si="2"/>
        <v>1422</v>
      </c>
      <c r="S10" s="196">
        <f t="shared" si="2"/>
        <v>1477</v>
      </c>
      <c r="T10" s="196">
        <f t="shared" si="2"/>
        <v>1532</v>
      </c>
      <c r="U10" s="196">
        <f t="shared" si="2"/>
        <v>1587</v>
      </c>
      <c r="V10" s="196">
        <f t="shared" si="2"/>
        <v>1642</v>
      </c>
      <c r="W10" s="196">
        <f t="shared" si="2"/>
        <v>1697</v>
      </c>
      <c r="X10" s="196">
        <f t="shared" si="2"/>
        <v>1752</v>
      </c>
      <c r="Y10" s="196">
        <f t="shared" si="2"/>
        <v>1807</v>
      </c>
      <c r="Z10" s="196">
        <f t="shared" si="2"/>
        <v>1862</v>
      </c>
      <c r="AA10" s="196">
        <f t="shared" si="2"/>
        <v>1917</v>
      </c>
      <c r="AB10" s="196">
        <f t="shared" si="2"/>
        <v>1972</v>
      </c>
      <c r="AC10" s="196">
        <f t="shared" si="2"/>
        <v>2027</v>
      </c>
      <c r="AD10" s="196"/>
      <c r="AE10" s="196"/>
    </row>
    <row r="11" spans="1:31" ht="12.75" customHeight="1">
      <c r="A11" s="257"/>
      <c r="B11" s="235">
        <f>IF(A23=3,1,0)</f>
        <v>0</v>
      </c>
      <c r="C11" s="82" t="s">
        <v>245</v>
      </c>
      <c r="D11" s="249"/>
      <c r="E11" s="17">
        <f>IF(D5=1,K7,IF(D5=2,L7,IF(D5=3,M7,IF(D5=4,N7,IF(D5=5,O7,IF(D5=6,P7,IF(D5=7,Q7,IF(D5=8,R7,0))))))))*B11</f>
        <v>0</v>
      </c>
      <c r="F11" s="235">
        <v>12</v>
      </c>
      <c r="G11" s="234">
        <f>ROUND((E11+E12)*F11,2)</f>
        <v>0</v>
      </c>
      <c r="H11" s="235"/>
      <c r="I11" s="234">
        <f>ROUND(G11*H5%,2)</f>
        <v>0</v>
      </c>
      <c r="J11" s="227" t="s">
        <v>104</v>
      </c>
      <c r="K11" s="198">
        <f>ROUND(K6*1.4,0)</f>
        <v>1092</v>
      </c>
      <c r="L11" s="196">
        <f>ROUND(K11+$K$11*0.054,0)</f>
        <v>1151</v>
      </c>
      <c r="M11" s="196">
        <f t="shared" ref="M11:AC11" si="3">ROUND(L11+$K$11*0.054,0)</f>
        <v>1210</v>
      </c>
      <c r="N11" s="196">
        <f t="shared" si="3"/>
        <v>1269</v>
      </c>
      <c r="O11" s="196">
        <f t="shared" si="3"/>
        <v>1328</v>
      </c>
      <c r="P11" s="196">
        <f t="shared" si="3"/>
        <v>1387</v>
      </c>
      <c r="Q11" s="196">
        <f t="shared" si="3"/>
        <v>1446</v>
      </c>
      <c r="R11" s="196">
        <f t="shared" si="3"/>
        <v>1505</v>
      </c>
      <c r="S11" s="196">
        <f t="shared" si="3"/>
        <v>1564</v>
      </c>
      <c r="T11" s="196">
        <f t="shared" si="3"/>
        <v>1623</v>
      </c>
      <c r="U11" s="196">
        <f t="shared" si="3"/>
        <v>1682</v>
      </c>
      <c r="V11" s="196">
        <f t="shared" si="3"/>
        <v>1741</v>
      </c>
      <c r="W11" s="196">
        <f t="shared" si="3"/>
        <v>1800</v>
      </c>
      <c r="X11" s="196">
        <f t="shared" si="3"/>
        <v>1859</v>
      </c>
      <c r="Y11" s="196">
        <f t="shared" si="3"/>
        <v>1918</v>
      </c>
      <c r="Z11" s="196">
        <f t="shared" si="3"/>
        <v>1977</v>
      </c>
      <c r="AA11" s="196">
        <f t="shared" si="3"/>
        <v>2036</v>
      </c>
      <c r="AB11" s="196">
        <f t="shared" si="3"/>
        <v>2095</v>
      </c>
      <c r="AC11" s="196">
        <f t="shared" si="3"/>
        <v>2154</v>
      </c>
      <c r="AD11" s="196"/>
      <c r="AE11" s="196"/>
    </row>
    <row r="12" spans="1:31" ht="12.75" customHeight="1">
      <c r="A12" s="257"/>
      <c r="B12" s="235"/>
      <c r="C12" s="82" t="s">
        <v>247</v>
      </c>
      <c r="D12" s="249"/>
      <c r="E12" s="17">
        <f>IF(D5=9,S7,IF(D5=10,T7,IF(D5=11,U7,IF(D5=12,V7,IF(D5=13,W7,0)))))*B11</f>
        <v>0</v>
      </c>
      <c r="F12" s="235"/>
      <c r="G12" s="234"/>
      <c r="H12" s="235"/>
      <c r="I12" s="234"/>
      <c r="J12" s="228"/>
      <c r="K12" s="201"/>
      <c r="L12" s="201"/>
      <c r="M12" s="201"/>
      <c r="N12" s="201"/>
      <c r="O12" s="201"/>
      <c r="P12" s="201"/>
      <c r="Q12" s="201"/>
      <c r="R12" s="202"/>
      <c r="S12" s="201"/>
      <c r="T12" s="201"/>
      <c r="U12" s="201"/>
      <c r="V12" s="202"/>
      <c r="W12" s="202"/>
      <c r="X12" s="201"/>
      <c r="Y12" s="201"/>
      <c r="Z12" s="201"/>
      <c r="AA12" s="201"/>
      <c r="AB12" s="202"/>
      <c r="AC12" s="202"/>
      <c r="AD12" s="202"/>
      <c r="AE12" s="203"/>
    </row>
    <row r="13" spans="1:31" ht="12.75" customHeight="1">
      <c r="A13" s="257"/>
      <c r="B13" s="235">
        <f>IF(A23=4,1,0)</f>
        <v>0</v>
      </c>
      <c r="C13" s="82" t="s">
        <v>245</v>
      </c>
      <c r="D13" s="233">
        <v>0</v>
      </c>
      <c r="E13" s="17">
        <f>IF(D5=1,K6,IF(D5=2,L6,IF(D5=3,M6,IF(D5=4,N6,IF(D5=5,O6,IF(D5=6,P6,IF(D5=7,Q6,IF(D5=8,R6,0))))))))*B13</f>
        <v>0</v>
      </c>
      <c r="F13" s="235">
        <v>12</v>
      </c>
      <c r="G13" s="248">
        <f>ROUND((E13+E14)*F13,2)</f>
        <v>0</v>
      </c>
      <c r="H13" s="235"/>
      <c r="I13" s="234">
        <f>ROUND(G13*H5%,2)</f>
        <v>0</v>
      </c>
      <c r="J13" s="228"/>
      <c r="K13" s="204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6"/>
      <c r="W13" s="206"/>
      <c r="X13" s="205"/>
      <c r="Y13" s="205"/>
      <c r="Z13" s="205"/>
      <c r="AA13" s="205"/>
      <c r="AB13" s="205"/>
      <c r="AC13" s="205"/>
      <c r="AD13" s="205"/>
      <c r="AE13" s="205"/>
    </row>
    <row r="14" spans="1:31" ht="12.75" customHeight="1">
      <c r="A14" s="257"/>
      <c r="B14" s="235"/>
      <c r="C14" s="82" t="s">
        <v>247</v>
      </c>
      <c r="D14" s="249"/>
      <c r="E14" s="17">
        <f>IF(D5=9,S6,IF(D5=10,T6,IF(D5=11,U6,IF(D5=12,V6,IF(D5=13,W6,0)))))*B13</f>
        <v>0</v>
      </c>
      <c r="F14" s="235"/>
      <c r="G14" s="248"/>
      <c r="H14" s="235"/>
      <c r="I14" s="235"/>
      <c r="J14" s="242" t="s">
        <v>78</v>
      </c>
      <c r="K14" s="237"/>
      <c r="L14" s="208" t="s">
        <v>123</v>
      </c>
      <c r="M14" s="207" t="s">
        <v>159</v>
      </c>
      <c r="N14" s="207" t="s">
        <v>318</v>
      </c>
      <c r="O14" s="207" t="s">
        <v>316</v>
      </c>
      <c r="P14" s="239" t="s">
        <v>283</v>
      </c>
      <c r="Q14" s="239"/>
      <c r="R14" s="239"/>
      <c r="S14" s="239" t="s">
        <v>284</v>
      </c>
      <c r="T14" s="239"/>
      <c r="U14" s="239"/>
      <c r="V14" s="237" t="s">
        <v>286</v>
      </c>
      <c r="W14" s="237"/>
      <c r="X14" s="237"/>
      <c r="Y14" s="237"/>
      <c r="Z14" s="237"/>
      <c r="AA14" s="237" t="s">
        <v>285</v>
      </c>
      <c r="AB14" s="237"/>
      <c r="AC14" s="237"/>
      <c r="AD14" s="237"/>
      <c r="AE14" s="237"/>
    </row>
    <row r="15" spans="1:31" ht="12.75" customHeight="1">
      <c r="A15" s="258"/>
      <c r="B15" s="1"/>
      <c r="C15" s="82" t="s">
        <v>243</v>
      </c>
      <c r="D15" s="249"/>
      <c r="E15" s="134">
        <f>IF(D9=0,0,IF(G32&lt;=0,-G32,0))</f>
        <v>0</v>
      </c>
      <c r="F15" s="3">
        <v>12</v>
      </c>
      <c r="G15" s="17">
        <f>ROUND(E15*F15,2)</f>
        <v>0</v>
      </c>
      <c r="H15" s="17">
        <v>5</v>
      </c>
      <c r="I15" s="17">
        <f>ROUND(G15*H15%,2)</f>
        <v>0</v>
      </c>
      <c r="J15" s="242" t="s">
        <v>41</v>
      </c>
      <c r="K15" s="237"/>
      <c r="L15" s="208" t="s">
        <v>122</v>
      </c>
      <c r="M15" s="207" t="s">
        <v>19</v>
      </c>
      <c r="N15" s="208" t="s">
        <v>317</v>
      </c>
      <c r="O15" s="207" t="s">
        <v>317</v>
      </c>
      <c r="P15" s="207" t="s">
        <v>320</v>
      </c>
      <c r="Q15" s="207" t="s">
        <v>324</v>
      </c>
      <c r="R15" s="207" t="s">
        <v>321</v>
      </c>
      <c r="S15" s="207" t="s">
        <v>320</v>
      </c>
      <c r="T15" s="207" t="s">
        <v>324</v>
      </c>
      <c r="U15" s="207" t="s">
        <v>321</v>
      </c>
      <c r="V15" s="207" t="s">
        <v>15</v>
      </c>
      <c r="W15" s="209" t="s">
        <v>289</v>
      </c>
      <c r="X15" s="209" t="s">
        <v>287</v>
      </c>
      <c r="Y15" s="209" t="s">
        <v>319</v>
      </c>
      <c r="Z15" s="209" t="s">
        <v>145</v>
      </c>
      <c r="AA15" s="207" t="s">
        <v>15</v>
      </c>
      <c r="AB15" s="209" t="s">
        <v>289</v>
      </c>
      <c r="AC15" s="209" t="s">
        <v>287</v>
      </c>
      <c r="AD15" s="209" t="s">
        <v>319</v>
      </c>
      <c r="AE15" s="209" t="s">
        <v>145</v>
      </c>
    </row>
    <row r="16" spans="1:31" ht="12.75" customHeight="1">
      <c r="A16" s="258"/>
      <c r="B16" s="12" t="s">
        <v>3</v>
      </c>
      <c r="C16" s="82" t="s">
        <v>59</v>
      </c>
      <c r="D16" s="233">
        <v>0</v>
      </c>
      <c r="E16" s="94">
        <f>IF(D16=0,K25,IF(D16=0,L25,IF(D16=1,M25,IF(D16=2,N25,IF(D16=3,O25,IF(D16=4,P25,IF(D16=5,Q25,IF(D16=6,R25,0))))))))</f>
        <v>0</v>
      </c>
      <c r="F16" s="235">
        <v>12</v>
      </c>
      <c r="G16" s="234">
        <f>ROUND((E16+E17)*F16,2)</f>
        <v>0</v>
      </c>
      <c r="H16" s="234">
        <f>IF($D$26&lt;$I$99,IF(A4=1,19.72,IF(A4=0,16.22,0)),4)</f>
        <v>19.72</v>
      </c>
      <c r="I16" s="234">
        <f>ROUND(G16*H16%,2)</f>
        <v>0</v>
      </c>
      <c r="J16" s="243" t="s">
        <v>58</v>
      </c>
      <c r="K16" s="236"/>
      <c r="L16" s="211">
        <v>900</v>
      </c>
      <c r="M16" s="211">
        <v>550</v>
      </c>
      <c r="N16" s="211">
        <v>500</v>
      </c>
      <c r="O16" s="211">
        <v>350</v>
      </c>
      <c r="P16" s="211">
        <v>385</v>
      </c>
      <c r="Q16" s="211">
        <v>385</v>
      </c>
      <c r="R16" s="211">
        <v>385</v>
      </c>
      <c r="S16" s="211">
        <v>330</v>
      </c>
      <c r="T16" s="211">
        <v>330</v>
      </c>
      <c r="U16" s="211">
        <v>330</v>
      </c>
      <c r="V16" s="211">
        <v>330</v>
      </c>
      <c r="W16" s="211">
        <v>330</v>
      </c>
      <c r="X16" s="211">
        <v>330</v>
      </c>
      <c r="Y16" s="211">
        <v>330</v>
      </c>
      <c r="Z16" s="211">
        <v>330</v>
      </c>
      <c r="AA16" s="211">
        <v>275</v>
      </c>
      <c r="AB16" s="211">
        <v>275</v>
      </c>
      <c r="AC16" s="211">
        <v>275</v>
      </c>
      <c r="AD16" s="211">
        <v>275</v>
      </c>
      <c r="AE16" s="211">
        <v>275</v>
      </c>
    </row>
    <row r="17" spans="1:31" ht="12.75" customHeight="1">
      <c r="A17" s="258"/>
      <c r="B17" s="12" t="s">
        <v>4</v>
      </c>
      <c r="C17" s="82" t="s">
        <v>59</v>
      </c>
      <c r="D17" s="233"/>
      <c r="E17" s="94">
        <f>IF(D16=7,S25,IF(D16=8,T25,IF(D16=9,U25,IF(D16=10,V25,0))))</f>
        <v>0</v>
      </c>
      <c r="F17" s="235"/>
      <c r="G17" s="234"/>
      <c r="H17" s="234"/>
      <c r="I17" s="234"/>
      <c r="J17" s="227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212"/>
      <c r="AC17" s="212"/>
      <c r="AD17" s="189"/>
      <c r="AE17" s="189"/>
    </row>
    <row r="18" spans="1:31" ht="12.75" customHeight="1">
      <c r="A18" s="258"/>
      <c r="B18" s="12" t="s">
        <v>5</v>
      </c>
      <c r="C18" s="82" t="s">
        <v>58</v>
      </c>
      <c r="D18" s="233">
        <v>0</v>
      </c>
      <c r="E18" s="17">
        <f>IF(D18=1,P16,IF(D18=2,S16,IF(D18=3,V16,IF(D18=4,AA16,IF(D18=5,L21,IF(D18=6,V21,IF(D18=7,O16,0)))))))</f>
        <v>0</v>
      </c>
      <c r="F18" s="235">
        <v>12</v>
      </c>
      <c r="G18" s="234">
        <f>ROUND((E18+E19)*F18,2)</f>
        <v>0</v>
      </c>
      <c r="H18" s="234">
        <f>IF($D$26&lt;$I$99,19.72,7.5)</f>
        <v>19.72</v>
      </c>
      <c r="I18" s="234">
        <f>ROUND(G18*H18%,2)</f>
        <v>0</v>
      </c>
      <c r="J18" s="227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9"/>
      <c r="AC18" s="189"/>
      <c r="AD18" s="189"/>
      <c r="AE18" s="189"/>
    </row>
    <row r="19" spans="1:31" ht="12.75" customHeight="1">
      <c r="A19" s="258"/>
      <c r="B19" s="12" t="s">
        <v>6</v>
      </c>
      <c r="C19" s="82" t="s">
        <v>58</v>
      </c>
      <c r="D19" s="233"/>
      <c r="E19" s="17">
        <f>IF(D18=8,M16,IF(D18=9,U21,IF(D18=10,N16,IF(D18=11,L16,IF(D18=12,Z21,IF(D18=13,Y21,0))))))</f>
        <v>0</v>
      </c>
      <c r="F19" s="235"/>
      <c r="G19" s="234"/>
      <c r="H19" s="234"/>
      <c r="I19" s="234"/>
      <c r="J19" s="242" t="s">
        <v>78</v>
      </c>
      <c r="K19" s="237"/>
      <c r="L19" s="237" t="s">
        <v>147</v>
      </c>
      <c r="M19" s="238"/>
      <c r="N19" s="238"/>
      <c r="O19" s="238"/>
      <c r="P19" s="238"/>
      <c r="Q19" s="238"/>
      <c r="R19" s="238"/>
      <c r="S19" s="208" t="s">
        <v>156</v>
      </c>
      <c r="T19" s="237" t="s">
        <v>159</v>
      </c>
      <c r="U19" s="238"/>
      <c r="V19" s="238"/>
      <c r="W19" s="238"/>
      <c r="X19" s="238"/>
      <c r="Y19" s="238"/>
      <c r="Z19" s="238"/>
      <c r="AA19" s="209" t="s">
        <v>16</v>
      </c>
      <c r="AB19" s="213" t="s">
        <v>196</v>
      </c>
      <c r="AC19" s="236" t="s">
        <v>195</v>
      </c>
      <c r="AD19" s="236"/>
      <c r="AE19" s="236"/>
    </row>
    <row r="20" spans="1:31" ht="12.75" customHeight="1">
      <c r="A20" s="258"/>
      <c r="B20" s="12" t="s">
        <v>7</v>
      </c>
      <c r="C20" s="82" t="s">
        <v>114</v>
      </c>
      <c r="D20" s="24">
        <v>0</v>
      </c>
      <c r="E20" s="17">
        <f>IF(D20=1,AB21,0)</f>
        <v>0</v>
      </c>
      <c r="F20" s="16">
        <v>12</v>
      </c>
      <c r="G20" s="17">
        <f>ROUND(E20*F20,2)</f>
        <v>0</v>
      </c>
      <c r="H20" s="17">
        <f>IF($D$26&lt;$I$99,IF(A4=1,19.72,IF(A4=0,16.22,0)),4)</f>
        <v>19.72</v>
      </c>
      <c r="I20" s="17">
        <f>ROUND(G20*H20%,2)</f>
        <v>0</v>
      </c>
      <c r="J20" s="242" t="s">
        <v>41</v>
      </c>
      <c r="K20" s="237"/>
      <c r="L20" s="207" t="s">
        <v>320</v>
      </c>
      <c r="M20" s="207" t="s">
        <v>324</v>
      </c>
      <c r="N20" s="207" t="s">
        <v>15</v>
      </c>
      <c r="O20" s="209" t="s">
        <v>287</v>
      </c>
      <c r="P20" s="209" t="s">
        <v>321</v>
      </c>
      <c r="Q20" s="209" t="s">
        <v>319</v>
      </c>
      <c r="R20" s="209" t="s">
        <v>145</v>
      </c>
      <c r="S20" s="209" t="s">
        <v>288</v>
      </c>
      <c r="T20" s="21" t="s">
        <v>322</v>
      </c>
      <c r="U20" s="210" t="s">
        <v>323</v>
      </c>
      <c r="V20" s="209" t="s">
        <v>146</v>
      </c>
      <c r="W20" s="214" t="s">
        <v>152</v>
      </c>
      <c r="X20" s="215" t="s">
        <v>166</v>
      </c>
      <c r="Y20" s="207" t="s">
        <v>106</v>
      </c>
      <c r="Z20" s="207" t="s">
        <v>77</v>
      </c>
      <c r="AA20" s="209" t="s">
        <v>17</v>
      </c>
      <c r="AB20" s="209" t="s">
        <v>197</v>
      </c>
      <c r="AC20" s="209" t="s">
        <v>198</v>
      </c>
      <c r="AD20" s="209" t="s">
        <v>199</v>
      </c>
      <c r="AE20" s="209" t="s">
        <v>200</v>
      </c>
    </row>
    <row r="21" spans="1:31" ht="12.75" customHeight="1">
      <c r="A21" s="258"/>
      <c r="B21" s="12" t="s">
        <v>4</v>
      </c>
      <c r="C21" s="82" t="s">
        <v>172</v>
      </c>
      <c r="D21" s="24">
        <v>0</v>
      </c>
      <c r="E21" s="17">
        <f>IF(D21=1,AC21,IF(D21=2,AD21,IF(D21=3,AE21,0)))</f>
        <v>0</v>
      </c>
      <c r="F21" s="16">
        <v>12</v>
      </c>
      <c r="G21" s="17">
        <f>ROUND(E21*F21,2)</f>
        <v>0</v>
      </c>
      <c r="H21" s="17">
        <f>IF($D$26&lt;$I$99,IF(A4=1,19.72,IF(A4=0,16.22,0)),4)</f>
        <v>19.72</v>
      </c>
      <c r="I21" s="17">
        <f>ROUND(G21*H21%,2)</f>
        <v>0</v>
      </c>
      <c r="J21" s="243" t="s">
        <v>58</v>
      </c>
      <c r="K21" s="236"/>
      <c r="L21" s="211">
        <v>150</v>
      </c>
      <c r="M21" s="216">
        <v>150</v>
      </c>
      <c r="N21" s="211">
        <v>150</v>
      </c>
      <c r="O21" s="211">
        <v>150</v>
      </c>
      <c r="P21" s="211">
        <v>150</v>
      </c>
      <c r="Q21" s="211">
        <v>150</v>
      </c>
      <c r="R21" s="211">
        <v>150</v>
      </c>
      <c r="S21" s="211">
        <v>150</v>
      </c>
      <c r="T21" s="4">
        <v>150</v>
      </c>
      <c r="U21" s="211">
        <v>350</v>
      </c>
      <c r="V21" s="211">
        <v>165</v>
      </c>
      <c r="W21" s="211">
        <v>165</v>
      </c>
      <c r="X21" s="211">
        <v>165</v>
      </c>
      <c r="Y21" s="211">
        <v>300</v>
      </c>
      <c r="Z21" s="211">
        <v>290</v>
      </c>
      <c r="AA21" s="208" t="s">
        <v>120</v>
      </c>
      <c r="AB21" s="211">
        <v>100</v>
      </c>
      <c r="AC21" s="211">
        <v>150</v>
      </c>
      <c r="AD21" s="211">
        <v>70</v>
      </c>
      <c r="AE21" s="211">
        <v>35</v>
      </c>
    </row>
    <row r="22" spans="1:31" ht="12.75" customHeight="1">
      <c r="A22" s="24"/>
      <c r="B22" s="12"/>
      <c r="C22" s="82" t="s">
        <v>40</v>
      </c>
      <c r="D22" s="24">
        <v>0</v>
      </c>
      <c r="E22" s="17"/>
      <c r="F22" s="16">
        <v>12</v>
      </c>
      <c r="G22" s="17"/>
      <c r="H22" s="17">
        <f>D22</f>
        <v>0</v>
      </c>
      <c r="I22" s="17">
        <f>ROUND(F22*H22,2)</f>
        <v>0</v>
      </c>
      <c r="J22" s="106"/>
      <c r="K22" s="24"/>
      <c r="L22" s="12"/>
      <c r="M22" s="98"/>
      <c r="N22" s="12"/>
      <c r="O22" s="12"/>
      <c r="P22" s="12"/>
      <c r="Q22" s="12"/>
      <c r="R22" s="12"/>
      <c r="S22" s="12"/>
      <c r="T22" s="12"/>
      <c r="U22" s="12"/>
      <c r="V22" s="24"/>
      <c r="W22" s="150"/>
      <c r="X22" s="151"/>
      <c r="Y22" s="151"/>
      <c r="Z22" s="151"/>
      <c r="AA22" s="151"/>
      <c r="AB22" s="144"/>
      <c r="AC22" s="144"/>
      <c r="AD22" s="144"/>
      <c r="AE22" s="144"/>
    </row>
    <row r="23" spans="1:31" ht="12.75" customHeight="1">
      <c r="A23" s="21">
        <v>1</v>
      </c>
      <c r="B23" s="12"/>
      <c r="C23" s="82" t="s">
        <v>81</v>
      </c>
      <c r="D23" s="24">
        <v>0</v>
      </c>
      <c r="E23" s="17"/>
      <c r="F23" s="16">
        <v>12</v>
      </c>
      <c r="G23" s="17"/>
      <c r="H23" s="17">
        <f>D23</f>
        <v>0</v>
      </c>
      <c r="I23" s="17">
        <f>ROUND(F23*H23,2)</f>
        <v>0</v>
      </c>
      <c r="J23" s="106"/>
      <c r="K23" s="24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79"/>
      <c r="Y23" s="11"/>
      <c r="Z23" s="11"/>
      <c r="AA23" s="11"/>
      <c r="AB23" s="84"/>
      <c r="AC23" s="84"/>
      <c r="AD23" s="84"/>
      <c r="AE23" s="84"/>
    </row>
    <row r="24" spans="1:31" ht="12.75" customHeight="1">
      <c r="A24" s="270" t="s">
        <v>82</v>
      </c>
      <c r="B24" s="12"/>
      <c r="C24" s="82" t="s">
        <v>34</v>
      </c>
      <c r="D24" s="24">
        <v>0</v>
      </c>
      <c r="E24" s="17"/>
      <c r="F24" s="16">
        <v>0</v>
      </c>
      <c r="G24" s="17"/>
      <c r="H24" s="17">
        <f>D24</f>
        <v>0</v>
      </c>
      <c r="I24" s="17">
        <f>ROUND(F24*H24,2)</f>
        <v>0</v>
      </c>
      <c r="J24" s="106" t="s">
        <v>17</v>
      </c>
      <c r="K24" s="12" t="s">
        <v>14</v>
      </c>
      <c r="L24" s="12" t="s">
        <v>13</v>
      </c>
      <c r="M24" s="12" t="s">
        <v>64</v>
      </c>
      <c r="N24" s="12" t="s">
        <v>65</v>
      </c>
      <c r="O24" s="12" t="s">
        <v>66</v>
      </c>
      <c r="P24" s="12" t="s">
        <v>67</v>
      </c>
      <c r="Q24" s="12" t="s">
        <v>68</v>
      </c>
      <c r="R24" s="12" t="s">
        <v>69</v>
      </c>
      <c r="S24" s="12" t="s">
        <v>70</v>
      </c>
      <c r="T24" s="12" t="s">
        <v>71</v>
      </c>
      <c r="U24" s="12" t="s">
        <v>74</v>
      </c>
      <c r="V24" s="12" t="s">
        <v>151</v>
      </c>
      <c r="W24" s="79"/>
      <c r="Y24" s="11"/>
      <c r="Z24" s="11"/>
      <c r="AA24" s="11"/>
      <c r="AB24" s="5"/>
      <c r="AC24" s="5"/>
      <c r="AD24" s="84"/>
      <c r="AE24" s="84"/>
    </row>
    <row r="25" spans="1:31" ht="12.75" customHeight="1">
      <c r="A25" s="271"/>
      <c r="B25" s="12"/>
      <c r="C25" s="82" t="s">
        <v>60</v>
      </c>
      <c r="D25" s="24">
        <v>0</v>
      </c>
      <c r="E25" s="17"/>
      <c r="F25" s="16">
        <v>12</v>
      </c>
      <c r="G25" s="17"/>
      <c r="H25" s="17">
        <f>D25</f>
        <v>0</v>
      </c>
      <c r="I25" s="17">
        <f>ROUND(F25*H25,2)</f>
        <v>0</v>
      </c>
      <c r="J25" s="106" t="s">
        <v>72</v>
      </c>
      <c r="K25" s="94">
        <f>K27</f>
        <v>0</v>
      </c>
      <c r="L25" s="17">
        <f t="shared" ref="L25:V25" si="4">K25+L27</f>
        <v>0</v>
      </c>
      <c r="M25" s="17">
        <f t="shared" si="4"/>
        <v>50</v>
      </c>
      <c r="N25" s="17">
        <f t="shared" si="4"/>
        <v>70</v>
      </c>
      <c r="O25" s="17">
        <f t="shared" si="4"/>
        <v>120</v>
      </c>
      <c r="P25" s="17">
        <f t="shared" si="4"/>
        <v>170</v>
      </c>
      <c r="Q25" s="17">
        <f t="shared" si="4"/>
        <v>240</v>
      </c>
      <c r="R25" s="17">
        <f t="shared" si="4"/>
        <v>310</v>
      </c>
      <c r="S25" s="17">
        <f t="shared" si="4"/>
        <v>380</v>
      </c>
      <c r="T25" s="17">
        <f t="shared" si="4"/>
        <v>450</v>
      </c>
      <c r="U25" s="17">
        <f t="shared" si="4"/>
        <v>520</v>
      </c>
      <c r="V25" s="17">
        <f t="shared" si="4"/>
        <v>590</v>
      </c>
      <c r="W25" s="152"/>
      <c r="X25" s="5"/>
      <c r="Y25" s="5"/>
      <c r="Z25" s="5"/>
      <c r="AA25" s="5"/>
      <c r="AB25" s="5"/>
      <c r="AC25" s="5"/>
      <c r="AD25" s="84"/>
      <c r="AE25" s="84"/>
    </row>
    <row r="26" spans="1:31" ht="12.75" customHeight="1">
      <c r="A26" s="271"/>
      <c r="B26" s="12"/>
      <c r="C26" s="34" t="s">
        <v>262</v>
      </c>
      <c r="D26" s="30">
        <f>IF($E$33&lt;$I$99,0,$I$99)</f>
        <v>0</v>
      </c>
      <c r="E26" s="17"/>
      <c r="F26" s="16">
        <v>12</v>
      </c>
      <c r="G26" s="17"/>
      <c r="H26" s="17">
        <f>ROUND($D$26*12.47%,2)</f>
        <v>0</v>
      </c>
      <c r="I26" s="17">
        <f>ROUND(F26*H26,2)+ROUND(F26*I77,2)</f>
        <v>312</v>
      </c>
      <c r="J26" s="106" t="s">
        <v>75</v>
      </c>
      <c r="K26" s="12" t="s">
        <v>14</v>
      </c>
      <c r="L26" s="28" t="s">
        <v>33</v>
      </c>
      <c r="M26" s="28" t="s">
        <v>25</v>
      </c>
      <c r="N26" s="28" t="s">
        <v>26</v>
      </c>
      <c r="O26" s="28" t="s">
        <v>27</v>
      </c>
      <c r="P26" s="28" t="s">
        <v>28</v>
      </c>
      <c r="Q26" s="28" t="s">
        <v>29</v>
      </c>
      <c r="R26" s="28" t="s">
        <v>30</v>
      </c>
      <c r="S26" s="28" t="s">
        <v>31</v>
      </c>
      <c r="T26" s="28" t="s">
        <v>32</v>
      </c>
      <c r="U26" s="28" t="s">
        <v>73</v>
      </c>
      <c r="V26" s="28" t="s">
        <v>150</v>
      </c>
      <c r="W26" s="152"/>
      <c r="X26" s="5"/>
      <c r="Y26" s="5"/>
      <c r="Z26" s="5"/>
      <c r="AA26" s="5"/>
      <c r="AB26" s="5"/>
      <c r="AC26" s="5"/>
      <c r="AD26" s="84"/>
      <c r="AE26" s="84"/>
    </row>
    <row r="27" spans="1:31" ht="12.75" customHeight="1">
      <c r="A27" s="271"/>
      <c r="B27" s="12"/>
      <c r="C27" s="82" t="s">
        <v>266</v>
      </c>
      <c r="D27" s="184">
        <v>0</v>
      </c>
      <c r="E27" s="1"/>
      <c r="F27" s="1"/>
      <c r="G27" s="1"/>
      <c r="H27" s="1"/>
      <c r="I27" s="1"/>
      <c r="J27" s="106" t="s">
        <v>76</v>
      </c>
      <c r="K27" s="94">
        <v>0</v>
      </c>
      <c r="L27" s="94">
        <v>0</v>
      </c>
      <c r="M27" s="94">
        <v>50</v>
      </c>
      <c r="N27" s="94">
        <v>20</v>
      </c>
      <c r="O27" s="94">
        <v>50</v>
      </c>
      <c r="P27" s="94">
        <v>50</v>
      </c>
      <c r="Q27" s="94">
        <v>70</v>
      </c>
      <c r="R27" s="94">
        <v>70</v>
      </c>
      <c r="S27" s="94">
        <v>70</v>
      </c>
      <c r="T27" s="94">
        <v>70</v>
      </c>
      <c r="U27" s="94">
        <v>70</v>
      </c>
      <c r="V27" s="94">
        <v>70</v>
      </c>
      <c r="W27" s="152"/>
      <c r="X27" s="5"/>
      <c r="Y27" s="5"/>
      <c r="Z27" s="5"/>
      <c r="AA27" s="5"/>
      <c r="AB27" s="5"/>
      <c r="AC27" s="5"/>
      <c r="AD27" s="84"/>
      <c r="AE27" s="84"/>
    </row>
    <row r="28" spans="1:31" ht="12.75" customHeight="1">
      <c r="A28" s="271"/>
      <c r="B28" s="12"/>
      <c r="C28" s="1"/>
      <c r="D28" s="1"/>
      <c r="E28" s="1"/>
      <c r="F28" s="1"/>
      <c r="G28" s="1"/>
      <c r="H28" s="1"/>
      <c r="I28" s="1"/>
      <c r="J28" s="176"/>
      <c r="K28" s="176"/>
      <c r="L28" s="176"/>
      <c r="M28" s="176"/>
      <c r="N28" s="176"/>
      <c r="O28" s="176"/>
    </row>
    <row r="29" spans="1:31" ht="12.75" customHeight="1">
      <c r="A29" s="271"/>
      <c r="B29" s="12"/>
      <c r="C29" s="34"/>
      <c r="D29" s="16"/>
      <c r="E29" s="17"/>
      <c r="F29" s="16"/>
      <c r="G29" s="17"/>
      <c r="H29" s="17"/>
      <c r="I29" s="17"/>
    </row>
    <row r="30" spans="1:31" ht="12.75" customHeight="1">
      <c r="A30" s="271"/>
      <c r="B30" s="12"/>
      <c r="C30" s="34"/>
      <c r="D30" s="16"/>
      <c r="E30" s="17"/>
      <c r="F30" s="16"/>
      <c r="G30" s="17"/>
      <c r="H30" s="17"/>
      <c r="I30" s="17"/>
    </row>
    <row r="31" spans="1:31" ht="12.75" customHeight="1">
      <c r="A31" s="271"/>
      <c r="B31" s="12"/>
      <c r="C31" s="34"/>
      <c r="D31" s="16"/>
      <c r="E31" s="17"/>
      <c r="F31" s="39"/>
      <c r="G31" s="17"/>
      <c r="H31" s="17"/>
      <c r="I31" s="17"/>
    </row>
    <row r="32" spans="1:31" ht="12.75" customHeight="1">
      <c r="A32" s="271"/>
      <c r="B32" s="12"/>
      <c r="C32" s="34"/>
      <c r="D32" s="16"/>
      <c r="E32" s="154">
        <f>E5+E6+E7+E8+E9+E10+E11+E12+E13+E14</f>
        <v>1800</v>
      </c>
      <c r="F32" s="16"/>
      <c r="G32" s="17">
        <f>E32-'ΜΙΣΘΟΔΟΣΙΑ ΜΗΧΑΝΙΚΩΝ Π.Μ.'!E35</f>
        <v>1800</v>
      </c>
      <c r="H32" s="17"/>
      <c r="I32" s="17"/>
    </row>
    <row r="33" spans="1:15" ht="12.75" customHeight="1">
      <c r="A33" s="271"/>
      <c r="B33" s="12"/>
      <c r="C33" s="16" t="s">
        <v>208</v>
      </c>
      <c r="D33" s="16"/>
      <c r="E33" s="99">
        <f>E5+E6+E7+E8+E9+E10+E11+E12+E13+E14+E15+E16+E17+E18+E19+E20+E21</f>
        <v>1800</v>
      </c>
      <c r="F33" s="16"/>
      <c r="G33" s="17">
        <f>G5+G8+G11+G13+G15+G16+G18+G20+G21</f>
        <v>21600</v>
      </c>
      <c r="H33" s="17"/>
      <c r="I33" s="17">
        <f>I5+I8+I11+I13+I15+I16+I18+I20+I21+I22+I23+I24+I25+I26</f>
        <v>4571.5200000000004</v>
      </c>
    </row>
    <row r="34" spans="1:15" ht="12.75" customHeight="1">
      <c r="A34" s="271"/>
      <c r="B34" s="34"/>
      <c r="C34" s="16"/>
      <c r="D34" s="16"/>
      <c r="E34" s="17"/>
      <c r="F34" s="16"/>
      <c r="G34" s="17"/>
      <c r="H34" s="17"/>
      <c r="I34" s="17"/>
    </row>
    <row r="35" spans="1:15" ht="12.75" customHeight="1">
      <c r="A35" s="271"/>
      <c r="B35" s="12"/>
      <c r="C35" s="122"/>
      <c r="D35" s="16"/>
      <c r="E35" s="17"/>
      <c r="F35" s="16"/>
      <c r="G35" s="16"/>
      <c r="H35" s="16"/>
      <c r="I35" s="16"/>
    </row>
    <row r="36" spans="1:15" s="15" customFormat="1" ht="12.75" customHeight="1">
      <c r="A36" s="272"/>
      <c r="B36" s="12"/>
      <c r="C36" s="101" t="s">
        <v>222</v>
      </c>
      <c r="D36" s="34"/>
      <c r="E36" s="17">
        <f>G33</f>
        <v>21600</v>
      </c>
      <c r="F36" s="1"/>
      <c r="G36" s="1"/>
      <c r="H36" s="1"/>
      <c r="I36" s="17"/>
    </row>
    <row r="37" spans="1:15" ht="12.75" customHeight="1">
      <c r="A37" s="273"/>
      <c r="B37" s="34"/>
      <c r="C37" s="102" t="s">
        <v>223</v>
      </c>
      <c r="D37" s="1"/>
      <c r="E37" s="17">
        <f>ROUND((I72+I74+I76+I77+I79+I81+I82+I83+I85+I86)*12,2)</f>
        <v>4571.5200000000004</v>
      </c>
      <c r="F37" s="1"/>
      <c r="G37" s="1"/>
      <c r="H37" s="1"/>
      <c r="I37" s="17"/>
    </row>
    <row r="38" spans="1:15" ht="12.75" customHeight="1">
      <c r="A38" s="1"/>
      <c r="B38" s="12"/>
      <c r="C38" s="103" t="s">
        <v>224</v>
      </c>
      <c r="D38" s="1"/>
      <c r="E38" s="28">
        <f>E36-E37</f>
        <v>17028.48</v>
      </c>
      <c r="F38" s="1"/>
      <c r="G38" s="1"/>
      <c r="H38" s="1"/>
      <c r="I38" s="28"/>
    </row>
    <row r="39" spans="1:15" ht="12.75" customHeight="1">
      <c r="A39" s="257"/>
      <c r="B39" s="12"/>
      <c r="C39" s="82"/>
      <c r="D39" s="16"/>
      <c r="E39" s="17"/>
      <c r="F39" s="16"/>
      <c r="G39" s="17"/>
      <c r="H39" s="17"/>
      <c r="I39" s="17"/>
    </row>
    <row r="40" spans="1:15" ht="12.75" customHeight="1">
      <c r="A40" s="249"/>
      <c r="B40" s="12"/>
      <c r="C40" s="12" t="s">
        <v>57</v>
      </c>
      <c r="D40" s="12"/>
      <c r="E40" s="181" t="s">
        <v>260</v>
      </c>
      <c r="F40" s="12"/>
      <c r="G40" s="28" t="s">
        <v>207</v>
      </c>
      <c r="H40" s="28" t="s">
        <v>23</v>
      </c>
      <c r="I40" s="28" t="s">
        <v>56</v>
      </c>
    </row>
    <row r="41" spans="1:15" ht="12.75" customHeight="1">
      <c r="A41" s="249"/>
      <c r="B41" s="12"/>
      <c r="C41" s="82" t="s">
        <v>51</v>
      </c>
      <c r="D41" s="105"/>
      <c r="E41" s="17">
        <f>IF($A$23=0,0,IF(D27=0,777,IF(D27=1,810,IF(D27=2,900,IF(D27&gt;=3,900+ROUND((D27-2)*220,2))))))</f>
        <v>777</v>
      </c>
      <c r="F41" s="94"/>
      <c r="G41" s="137">
        <f>IF(E38&lt;10000,E38,10000)</f>
        <v>10000</v>
      </c>
      <c r="H41" s="137">
        <v>9</v>
      </c>
      <c r="I41" s="137">
        <f>IF(ROUND(G41*H41%,2)-E41&lt;0,0,ROUND(G41*H41%,2)-E41)</f>
        <v>123</v>
      </c>
    </row>
    <row r="42" spans="1:15" ht="12.75" customHeight="1">
      <c r="A42" s="249"/>
      <c r="B42" s="12"/>
      <c r="C42" s="82" t="s">
        <v>52</v>
      </c>
      <c r="D42" s="105"/>
      <c r="E42" s="17"/>
      <c r="F42" s="94"/>
      <c r="G42" s="137">
        <f>IF(E38&lt;12000,E38-G41,2000)</f>
        <v>2000</v>
      </c>
      <c r="H42" s="137">
        <v>22</v>
      </c>
      <c r="I42" s="137">
        <f>IF(G42=0,0,IF(ROUND(G42*H42%,2)-ROUND((D27-2)*220,2)&lt;0,0,IF(D27&lt;3,ROUND(G42*H42%,2),IF(D27&lt;5,ROUND(G42*H42%,2)-ROUND((D27-2)*220,2),0))))</f>
        <v>440</v>
      </c>
    </row>
    <row r="43" spans="1:15" ht="12.75" customHeight="1">
      <c r="A43" s="249"/>
      <c r="B43" s="12"/>
      <c r="C43" s="82" t="s">
        <v>52</v>
      </c>
      <c r="D43" s="105"/>
      <c r="E43" s="17"/>
      <c r="F43" s="94"/>
      <c r="G43" s="137">
        <f>IF(E38&lt;20000,E38-G41-G42,8000)</f>
        <v>5028.4799999999996</v>
      </c>
      <c r="H43" s="137">
        <v>22</v>
      </c>
      <c r="I43" s="137">
        <f>IF(G43=0,0,IF(D27&lt;5,ROUND(G43*H43%,2)+ROUND(FLOOR(G43,1000)*20/1000,2),IF(D27&lt;13,ROUND(G43*H43%,2)-ROUND((D27-4)*220,2)+ROUND(FLOOR(G43,1000)*20/1000,2))))</f>
        <v>1206.27</v>
      </c>
    </row>
    <row r="44" spans="1:15" ht="12.75" customHeight="1">
      <c r="A44" s="249"/>
      <c r="B44" s="12"/>
      <c r="C44" s="82" t="s">
        <v>53</v>
      </c>
      <c r="D44" s="105"/>
      <c r="E44" s="1"/>
      <c r="F44" s="94"/>
      <c r="G44" s="137">
        <f>IF(E38&lt;30000,E38-G41-G42-G43,10000)</f>
        <v>0</v>
      </c>
      <c r="H44" s="137">
        <v>28</v>
      </c>
      <c r="I44" s="137">
        <f>IF(G44=0,0,ROUND(G44*H44%,2)+ROUND(FLOOR(G44,1000)*20/1000,2))</f>
        <v>0</v>
      </c>
      <c r="J44" s="176"/>
      <c r="K44" s="176"/>
      <c r="L44" s="176"/>
      <c r="M44" s="176"/>
      <c r="N44" s="176"/>
      <c r="O44" s="176"/>
    </row>
    <row r="45" spans="1:15" ht="12.75" customHeight="1">
      <c r="A45" s="249"/>
      <c r="B45" s="12"/>
      <c r="C45" s="82" t="s">
        <v>54</v>
      </c>
      <c r="D45" s="105"/>
      <c r="E45" s="17"/>
      <c r="F45" s="94"/>
      <c r="G45" s="137">
        <f>IF(E38&lt;40000,E38-G41-G42-G43-G44,10000)</f>
        <v>0</v>
      </c>
      <c r="H45" s="137">
        <v>36</v>
      </c>
      <c r="I45" s="137">
        <f>IF(G45=0,0,ROUND(G45*H45%,2)+ROUND(FLOOR(G45,1000)*20/1000,2))</f>
        <v>0</v>
      </c>
    </row>
    <row r="46" spans="1:15" ht="12.75" customHeight="1">
      <c r="A46" s="249"/>
      <c r="B46" s="12"/>
      <c r="C46" s="82" t="s">
        <v>291</v>
      </c>
      <c r="D46" s="105"/>
      <c r="E46" s="17"/>
      <c r="F46" s="94"/>
      <c r="G46" s="137">
        <f>IF(E38&lt;50000,E38-G41-G42-G43-G44-G45,10000)</f>
        <v>0</v>
      </c>
      <c r="H46" s="137">
        <v>44</v>
      </c>
      <c r="I46" s="137">
        <f>IF(G46=0,0,ROUND(G46*H46%,2)+ROUND(FLOOR(G46,1000)*20/1000,2))</f>
        <v>0</v>
      </c>
    </row>
    <row r="47" spans="1:15" ht="12.75" customHeight="1">
      <c r="A47" s="249"/>
      <c r="B47" s="12"/>
      <c r="C47" s="82" t="s">
        <v>291</v>
      </c>
      <c r="D47" s="105"/>
      <c r="E47" s="17"/>
      <c r="F47" s="94"/>
      <c r="G47" s="137">
        <f>IF(E38&gt;50000,E38-G41-G42-G43-G44-G45-G46,0)</f>
        <v>0</v>
      </c>
      <c r="H47" s="137">
        <v>44</v>
      </c>
      <c r="I47" s="137">
        <f>ROUND(G47*H47%,2)</f>
        <v>0</v>
      </c>
    </row>
    <row r="48" spans="1:15" ht="12.75" customHeight="1">
      <c r="A48" s="249"/>
      <c r="B48" s="12"/>
      <c r="C48" s="103" t="s">
        <v>204</v>
      </c>
      <c r="D48" s="105"/>
      <c r="E48" s="17"/>
      <c r="F48" s="17"/>
      <c r="G48" s="17">
        <f>G41+G42+G43+G44+G45+G46+G47</f>
        <v>17028.48</v>
      </c>
      <c r="H48" s="17"/>
      <c r="I48" s="17">
        <f>I41+I42+I43+I44+I45+I46+I47</f>
        <v>1769.27</v>
      </c>
    </row>
    <row r="49" spans="1:15" ht="12.75" customHeight="1">
      <c r="A49" s="249"/>
      <c r="B49" s="12"/>
      <c r="C49" s="82"/>
      <c r="D49" s="105"/>
      <c r="E49" s="17"/>
      <c r="F49" s="16"/>
      <c r="G49" s="17"/>
      <c r="H49" s="17"/>
      <c r="I49" s="17"/>
    </row>
    <row r="50" spans="1:15" ht="12.75" customHeight="1">
      <c r="A50" s="249"/>
      <c r="B50" s="12"/>
      <c r="C50" s="12" t="s">
        <v>12</v>
      </c>
      <c r="D50" s="12"/>
      <c r="E50" s="17"/>
      <c r="F50" s="16">
        <v>12</v>
      </c>
      <c r="G50" s="28">
        <f>IF($A$54=1,0,ROUND(I48/F50,2))</f>
        <v>147.44</v>
      </c>
      <c r="H50" s="17"/>
      <c r="I50" s="17"/>
    </row>
    <row r="51" spans="1:15" ht="12.75" customHeight="1">
      <c r="A51" s="249"/>
      <c r="B51" s="12"/>
      <c r="C51" s="82"/>
      <c r="D51" s="16"/>
      <c r="E51" s="17"/>
      <c r="F51" s="108"/>
      <c r="G51" s="17"/>
      <c r="H51" s="17"/>
      <c r="I51" s="17"/>
    </row>
    <row r="52" spans="1:15" ht="12.75" customHeight="1">
      <c r="A52" s="249"/>
      <c r="B52" s="12"/>
      <c r="C52" s="82"/>
      <c r="D52" s="16"/>
      <c r="E52" s="17"/>
      <c r="F52" s="16"/>
      <c r="G52" s="17"/>
      <c r="H52" s="17"/>
      <c r="I52" s="17"/>
    </row>
    <row r="53" spans="1:15" ht="12.75" customHeight="1">
      <c r="A53" s="1"/>
      <c r="B53" s="12"/>
      <c r="C53" s="128" t="s">
        <v>258</v>
      </c>
      <c r="D53" s="12"/>
      <c r="E53" s="181"/>
      <c r="F53" s="12"/>
      <c r="G53" s="28" t="s">
        <v>207</v>
      </c>
      <c r="H53" s="28" t="s">
        <v>259</v>
      </c>
      <c r="I53" s="28" t="s">
        <v>257</v>
      </c>
    </row>
    <row r="54" spans="1:15" ht="12.75" customHeight="1">
      <c r="A54" s="24">
        <v>0</v>
      </c>
      <c r="B54" s="12"/>
      <c r="C54" s="1" t="s">
        <v>250</v>
      </c>
      <c r="D54" s="3"/>
      <c r="E54" s="3"/>
      <c r="F54" s="1"/>
      <c r="G54" s="137">
        <f>IF(E38&lt;12000,E38,12000)</f>
        <v>12000</v>
      </c>
      <c r="H54" s="180">
        <v>0</v>
      </c>
      <c r="I54" s="137">
        <f>ROUND(G54*H54%,2)</f>
        <v>0</v>
      </c>
    </row>
    <row r="55" spans="1:15" ht="12.75" customHeight="1">
      <c r="A55" s="257" t="s">
        <v>44</v>
      </c>
      <c r="B55" s="12"/>
      <c r="C55" s="1" t="s">
        <v>251</v>
      </c>
      <c r="D55" s="3"/>
      <c r="E55" s="3"/>
      <c r="F55" s="1"/>
      <c r="G55" s="137">
        <f>IF(E38&lt;20000,E38-G54,8000)</f>
        <v>5028.4799999999996</v>
      </c>
      <c r="H55" s="180">
        <v>2.2000000000000002</v>
      </c>
      <c r="I55" s="137">
        <f t="shared" ref="I55:I60" si="5">ROUND(G55*H55%,2)</f>
        <v>110.63</v>
      </c>
    </row>
    <row r="56" spans="1:15" ht="12.75" customHeight="1">
      <c r="A56" s="249"/>
      <c r="B56" s="12"/>
      <c r="C56" s="1" t="s">
        <v>252</v>
      </c>
      <c r="D56" s="3"/>
      <c r="E56" s="3"/>
      <c r="F56" s="1"/>
      <c r="G56" s="137">
        <f>IF(E38&lt;30000,E38-G54-G55,10000)</f>
        <v>0</v>
      </c>
      <c r="H56" s="180">
        <v>5</v>
      </c>
      <c r="I56" s="137">
        <f t="shared" si="5"/>
        <v>0</v>
      </c>
    </row>
    <row r="57" spans="1:15" ht="12.75" customHeight="1">
      <c r="A57" s="249"/>
      <c r="B57" s="12"/>
      <c r="C57" s="1" t="s">
        <v>253</v>
      </c>
      <c r="D57" s="3"/>
      <c r="E57" s="3"/>
      <c r="F57" s="1"/>
      <c r="G57" s="137">
        <f>IF(E38&lt;40000,E38-G54-G55-G56,10000)</f>
        <v>0</v>
      </c>
      <c r="H57" s="180">
        <v>6.5</v>
      </c>
      <c r="I57" s="137">
        <f t="shared" si="5"/>
        <v>0</v>
      </c>
    </row>
    <row r="58" spans="1:15" ht="12.75" customHeight="1">
      <c r="A58" s="249"/>
      <c r="B58" s="12"/>
      <c r="C58" s="1" t="s">
        <v>254</v>
      </c>
      <c r="D58" s="3"/>
      <c r="E58" s="3"/>
      <c r="F58" s="1"/>
      <c r="G58" s="137">
        <f>IF(E38&lt;65000,E38-G54-G55-G56-G57,25000)</f>
        <v>0</v>
      </c>
      <c r="H58" s="180">
        <v>7.5</v>
      </c>
      <c r="I58" s="137">
        <f t="shared" si="5"/>
        <v>0</v>
      </c>
    </row>
    <row r="59" spans="1:15" ht="12.75" customHeight="1">
      <c r="A59" s="249"/>
      <c r="B59" s="12"/>
      <c r="C59" s="1" t="s">
        <v>255</v>
      </c>
      <c r="D59" s="3"/>
      <c r="E59" s="3"/>
      <c r="F59" s="1"/>
      <c r="G59" s="137">
        <f>IF(E38&lt;220000,E38-G54-G55-G56-G57-G58,155000)</f>
        <v>0</v>
      </c>
      <c r="H59" s="180">
        <v>9</v>
      </c>
      <c r="I59" s="137">
        <f t="shared" si="5"/>
        <v>0</v>
      </c>
    </row>
    <row r="60" spans="1:15" ht="12.75" customHeight="1">
      <c r="A60" s="249"/>
      <c r="B60" s="12"/>
      <c r="C60" s="1" t="s">
        <v>256</v>
      </c>
      <c r="D60" s="3"/>
      <c r="E60" s="3"/>
      <c r="F60" s="1"/>
      <c r="G60" s="137">
        <f>IF(E38&gt;220000,E38-G54-G55-G56-G57-G58-G59,0)</f>
        <v>0</v>
      </c>
      <c r="H60" s="180">
        <v>10</v>
      </c>
      <c r="I60" s="137">
        <f t="shared" si="5"/>
        <v>0</v>
      </c>
      <c r="J60" s="176"/>
      <c r="K60" s="176"/>
      <c r="L60" s="176"/>
      <c r="M60" s="176"/>
      <c r="N60" s="176"/>
      <c r="O60" s="176"/>
    </row>
    <row r="61" spans="1:15" ht="12.75" customHeight="1">
      <c r="A61" s="249"/>
      <c r="B61" s="12"/>
      <c r="C61" s="1" t="s">
        <v>267</v>
      </c>
      <c r="D61" s="3"/>
      <c r="E61" s="3"/>
      <c r="F61" s="1"/>
      <c r="G61" s="4">
        <f>G54+G55+G56+G57+G58+G59+G60</f>
        <v>17028.48</v>
      </c>
      <c r="H61" s="3"/>
      <c r="I61" s="4">
        <f>I54+I55+I56+I57+I58+I59+I60</f>
        <v>110.63</v>
      </c>
      <c r="J61" s="176"/>
      <c r="K61" s="176"/>
      <c r="L61" s="176"/>
      <c r="M61" s="176"/>
      <c r="N61" s="176"/>
      <c r="O61" s="176"/>
    </row>
    <row r="62" spans="1:15" ht="12.75" customHeight="1">
      <c r="A62" s="249"/>
      <c r="B62" s="12"/>
      <c r="C62" s="34"/>
      <c r="D62" s="16"/>
      <c r="E62" s="16"/>
      <c r="F62" s="16"/>
      <c r="G62" s="16"/>
      <c r="H62" s="16"/>
      <c r="I62" s="16"/>
      <c r="J62" s="176"/>
      <c r="K62" s="176"/>
      <c r="L62" s="176"/>
      <c r="M62" s="176"/>
      <c r="N62" s="176"/>
      <c r="O62" s="176"/>
    </row>
    <row r="63" spans="1:15" ht="12.75" customHeight="1">
      <c r="A63" s="249"/>
      <c r="B63" s="12"/>
      <c r="C63" s="126" t="s">
        <v>249</v>
      </c>
      <c r="D63" s="12"/>
      <c r="E63" s="17"/>
      <c r="F63" s="16">
        <v>12</v>
      </c>
      <c r="G63" s="28">
        <f>IF($A$54=1,0,ROUND(I61/F63,2))</f>
        <v>9.2200000000000006</v>
      </c>
      <c r="H63" s="17"/>
      <c r="I63" s="17"/>
      <c r="J63" s="176"/>
      <c r="K63" s="176"/>
      <c r="L63" s="176"/>
      <c r="M63" s="176"/>
      <c r="N63" s="176"/>
      <c r="O63" s="176"/>
    </row>
    <row r="64" spans="1:15" ht="12.75" customHeight="1">
      <c r="A64" s="249"/>
      <c r="B64" s="12"/>
      <c r="C64" s="1"/>
      <c r="D64" s="1"/>
      <c r="E64" s="1"/>
      <c r="F64" s="1"/>
      <c r="G64" s="1"/>
      <c r="H64" s="1"/>
      <c r="I64" s="1"/>
      <c r="J64" s="176"/>
      <c r="K64" s="176"/>
      <c r="L64" s="176"/>
      <c r="M64" s="176"/>
      <c r="N64" s="176"/>
      <c r="O64" s="176"/>
    </row>
    <row r="65" spans="1:31" ht="12.75" customHeight="1">
      <c r="A65" s="16"/>
      <c r="B65" s="12"/>
      <c r="C65" s="258"/>
      <c r="D65" s="258"/>
      <c r="E65" s="258"/>
      <c r="F65" s="235"/>
      <c r="G65" s="235"/>
      <c r="H65" s="235"/>
      <c r="I65" s="235"/>
      <c r="J65" s="176"/>
      <c r="K65" s="176"/>
      <c r="L65" s="176"/>
      <c r="M65" s="176"/>
      <c r="N65" s="176"/>
      <c r="O65" s="176"/>
      <c r="S65" s="11"/>
      <c r="T65" s="11"/>
      <c r="U65" s="11"/>
      <c r="V65" s="37"/>
      <c r="W65" s="11"/>
      <c r="X65" s="11"/>
      <c r="Y65" s="11"/>
      <c r="Z65" s="11"/>
      <c r="AA65" s="11"/>
      <c r="AB65" s="84"/>
      <c r="AC65" s="84"/>
      <c r="AD65" s="84"/>
      <c r="AE65" s="84"/>
    </row>
    <row r="66" spans="1:31" ht="24" customHeight="1">
      <c r="A66" s="36"/>
      <c r="B66" s="265" t="s">
        <v>90</v>
      </c>
      <c r="C66" s="266"/>
      <c r="D66" s="266"/>
      <c r="E66" s="267"/>
      <c r="F66" s="259"/>
      <c r="G66" s="260"/>
      <c r="H66" s="260"/>
      <c r="I66" s="260"/>
      <c r="J66" s="156"/>
      <c r="K66" s="156"/>
      <c r="L66" s="156"/>
      <c r="M66" s="156"/>
      <c r="N66" s="156"/>
      <c r="O66" s="156"/>
      <c r="P66" s="11"/>
      <c r="Q66" s="11"/>
      <c r="R66" s="11"/>
      <c r="S66" s="11"/>
      <c r="T66" s="11"/>
      <c r="U66" s="11"/>
      <c r="V66" s="37"/>
      <c r="W66" s="11"/>
      <c r="X66" s="11"/>
      <c r="Y66" s="11"/>
      <c r="Z66" s="11"/>
      <c r="AA66" s="11"/>
      <c r="AB66" s="37"/>
      <c r="AC66" s="84"/>
      <c r="AD66" s="84"/>
      <c r="AE66" s="84"/>
    </row>
    <row r="67" spans="1:31" ht="24" customHeight="1">
      <c r="A67" s="35"/>
      <c r="B67" s="265" t="s">
        <v>125</v>
      </c>
      <c r="C67" s="266"/>
      <c r="D67" s="266"/>
      <c r="E67" s="267"/>
      <c r="F67" s="259"/>
      <c r="G67" s="260"/>
      <c r="H67" s="260"/>
      <c r="I67" s="260"/>
      <c r="J67" s="175"/>
      <c r="K67" s="175"/>
      <c r="L67" s="175"/>
      <c r="M67" s="175"/>
      <c r="N67" s="175"/>
      <c r="O67" s="175"/>
      <c r="P67" s="14"/>
      <c r="Q67" s="14"/>
      <c r="R67" s="14"/>
      <c r="S67" s="14"/>
      <c r="T67" s="14"/>
      <c r="U67" s="14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1:31" ht="24" customHeight="1">
      <c r="A68" s="35"/>
      <c r="B68" s="265" t="s">
        <v>46</v>
      </c>
      <c r="C68" s="266"/>
      <c r="D68" s="266"/>
      <c r="E68" s="267"/>
      <c r="F68" s="259"/>
      <c r="G68" s="260"/>
      <c r="H68" s="260"/>
      <c r="I68" s="260"/>
      <c r="J68" s="175"/>
      <c r="K68" s="175"/>
      <c r="L68" s="175"/>
      <c r="M68" s="175"/>
      <c r="N68" s="175"/>
      <c r="O68" s="175"/>
      <c r="P68" s="14"/>
      <c r="Q68" s="14"/>
      <c r="R68" s="14"/>
      <c r="S68" s="14"/>
      <c r="T68" s="14"/>
      <c r="U68" s="14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1:31" s="5" customFormat="1" ht="24" customHeight="1">
      <c r="A69" s="11"/>
      <c r="B69" s="253" t="s">
        <v>35</v>
      </c>
      <c r="C69" s="253"/>
      <c r="D69" s="253"/>
      <c r="E69" s="253"/>
      <c r="F69" s="253"/>
      <c r="G69" s="253"/>
      <c r="H69" s="253"/>
      <c r="I69" s="253"/>
      <c r="J69" s="261" t="s">
        <v>205</v>
      </c>
      <c r="K69" s="262"/>
      <c r="L69" s="230" t="s">
        <v>206</v>
      </c>
      <c r="M69" s="175"/>
      <c r="N69" s="167"/>
      <c r="R69" s="14"/>
      <c r="S69" s="14"/>
      <c r="T69" s="14"/>
      <c r="U69" s="14"/>
      <c r="V69" s="15"/>
      <c r="W69" s="15"/>
      <c r="X69" s="15"/>
      <c r="Y69" s="15"/>
      <c r="Z69" s="84"/>
      <c r="AA69" s="84"/>
      <c r="AB69" s="84"/>
      <c r="AC69" s="84"/>
      <c r="AD69" s="84"/>
      <c r="AE69" s="84"/>
    </row>
    <row r="70" spans="1:31" s="5" customFormat="1" ht="12.75" customHeight="1">
      <c r="A70" s="11"/>
      <c r="B70" s="12"/>
      <c r="C70" s="12" t="s">
        <v>38</v>
      </c>
      <c r="D70" s="20" t="s">
        <v>167</v>
      </c>
      <c r="E70" s="12" t="s">
        <v>0</v>
      </c>
      <c r="F70" s="269" t="s">
        <v>37</v>
      </c>
      <c r="G70" s="269"/>
      <c r="H70" s="28" t="s">
        <v>10</v>
      </c>
      <c r="I70" s="28" t="s">
        <v>11</v>
      </c>
      <c r="J70" s="274" t="s">
        <v>92</v>
      </c>
      <c r="K70" s="276" t="s">
        <v>94</v>
      </c>
      <c r="L70" s="231"/>
      <c r="M70" s="175"/>
      <c r="N70" s="168"/>
      <c r="R70" s="14"/>
      <c r="S70" s="14"/>
      <c r="T70" s="14"/>
      <c r="U70" s="14"/>
      <c r="V70" s="15"/>
      <c r="W70" s="15"/>
      <c r="X70" s="15"/>
      <c r="Y70" s="15"/>
      <c r="Z70" s="84"/>
      <c r="AA70" s="84"/>
      <c r="AB70" s="84"/>
      <c r="AC70" s="84"/>
      <c r="AD70" s="84"/>
      <c r="AE70" s="84"/>
    </row>
    <row r="71" spans="1:31" s="5" customFormat="1" ht="12.75" customHeight="1">
      <c r="A71" s="11"/>
      <c r="B71" s="12" t="s">
        <v>3</v>
      </c>
      <c r="C71" s="82" t="s">
        <v>169</v>
      </c>
      <c r="D71" s="16">
        <f>D5</f>
        <v>13</v>
      </c>
      <c r="E71" s="17">
        <f>ROUND((E5+E6+E7+E8+E9+E10+E11+E12+E13+E14)*A96/30,2)</f>
        <v>1800</v>
      </c>
      <c r="F71" s="268" t="s">
        <v>56</v>
      </c>
      <c r="G71" s="263"/>
      <c r="H71" s="94"/>
      <c r="I71" s="94">
        <f>ROUND(G50*A96/30,2)</f>
        <v>147.44</v>
      </c>
      <c r="J71" s="275"/>
      <c r="K71" s="277"/>
      <c r="L71" s="231"/>
      <c r="M71" s="175"/>
      <c r="N71" s="11"/>
      <c r="R71" s="14"/>
      <c r="S71" s="14"/>
      <c r="T71" s="14"/>
      <c r="U71" s="14"/>
      <c r="V71" s="15"/>
      <c r="W71" s="15"/>
      <c r="X71" s="15"/>
      <c r="Y71" s="15"/>
      <c r="Z71" s="84"/>
      <c r="AA71" s="84"/>
      <c r="AB71" s="84"/>
      <c r="AC71" s="84"/>
      <c r="AD71" s="84"/>
      <c r="AE71" s="84"/>
    </row>
    <row r="72" spans="1:31" s="5" customFormat="1" ht="12.75" customHeight="1">
      <c r="A72" s="29"/>
      <c r="B72" s="12" t="s">
        <v>4</v>
      </c>
      <c r="C72" s="82" t="s">
        <v>243</v>
      </c>
      <c r="D72" s="1"/>
      <c r="E72" s="17">
        <f>ROUND(E15*A96/30,2)</f>
        <v>0</v>
      </c>
      <c r="F72" s="263" t="s">
        <v>62</v>
      </c>
      <c r="G72" s="263"/>
      <c r="H72" s="17">
        <v>4.5</v>
      </c>
      <c r="I72" s="17">
        <f>IF(A4=1,ROUND((E71+E73+E74+E75+E76)*H72%+E72*2%,2),ROUND((E71+E74)*H72%+E72*2%+(E73+E75+E76)*1%,2))</f>
        <v>81</v>
      </c>
      <c r="J72" s="275"/>
      <c r="K72" s="277"/>
      <c r="L72" s="231"/>
      <c r="M72" s="175"/>
      <c r="N72" s="11"/>
      <c r="T72" s="14"/>
      <c r="U72" s="14"/>
      <c r="V72" s="15"/>
      <c r="W72" s="15"/>
      <c r="X72" s="15"/>
      <c r="Y72" s="15"/>
      <c r="Z72" s="84"/>
      <c r="AA72" s="84"/>
      <c r="AB72" s="84"/>
      <c r="AC72" s="84"/>
      <c r="AD72" s="84"/>
      <c r="AE72" s="84"/>
    </row>
    <row r="73" spans="1:31" s="5" customFormat="1" ht="12.75" customHeight="1">
      <c r="A73" s="29"/>
      <c r="B73" s="12" t="s">
        <v>5</v>
      </c>
      <c r="C73" s="82" t="s">
        <v>59</v>
      </c>
      <c r="D73" s="16"/>
      <c r="E73" s="17">
        <f>ROUND((E16+E17)*A96/30,2)</f>
        <v>0</v>
      </c>
      <c r="F73" s="263" t="s">
        <v>279</v>
      </c>
      <c r="G73" s="263"/>
      <c r="H73" s="17">
        <v>4.55</v>
      </c>
      <c r="I73" s="17">
        <f>IF(D26&lt;$I$99,ROUND((E71+E73+E74+E75+E76)*H73%,2),ROUND(D26*H73%,2))</f>
        <v>81.900000000000006</v>
      </c>
      <c r="J73" s="275"/>
      <c r="K73" s="277"/>
      <c r="L73" s="232"/>
      <c r="M73" s="175"/>
      <c r="N73" s="11"/>
      <c r="T73" s="14"/>
      <c r="U73" s="14"/>
      <c r="V73" s="15"/>
      <c r="W73" s="15"/>
      <c r="X73" s="15"/>
      <c r="Y73" s="15"/>
      <c r="Z73" s="84"/>
      <c r="AA73" s="84"/>
      <c r="AB73" s="84"/>
      <c r="AC73" s="84"/>
      <c r="AD73" s="84"/>
      <c r="AE73" s="84"/>
    </row>
    <row r="74" spans="1:31" s="5" customFormat="1" ht="12.75" customHeight="1">
      <c r="A74" s="29"/>
      <c r="B74" s="12" t="s">
        <v>6</v>
      </c>
      <c r="C74" s="82" t="s">
        <v>58</v>
      </c>
      <c r="D74" s="111"/>
      <c r="E74" s="17">
        <f>ROUND((E18+E19)*A96/30,2)</f>
        <v>0</v>
      </c>
      <c r="F74" s="263" t="s">
        <v>280</v>
      </c>
      <c r="G74" s="263"/>
      <c r="H74" s="17">
        <v>2.5499999999999998</v>
      </c>
      <c r="I74" s="17">
        <f>IF(D26&lt;$I$99,ROUND((E71+E73+E74+E75+E76)*H74%,2),ROUND(D26*H74%,2))</f>
        <v>45.9</v>
      </c>
      <c r="J74" s="255" t="s">
        <v>93</v>
      </c>
      <c r="K74" s="256">
        <v>30</v>
      </c>
      <c r="L74" s="256" t="s">
        <v>62</v>
      </c>
      <c r="M74" s="175"/>
      <c r="N74" s="169"/>
      <c r="T74" s="14"/>
      <c r="U74" s="14"/>
      <c r="V74" s="15"/>
      <c r="W74" s="15"/>
      <c r="X74" s="15"/>
      <c r="Y74" s="15"/>
      <c r="Z74" s="84"/>
      <c r="AA74" s="84"/>
      <c r="AB74" s="84"/>
      <c r="AC74" s="84"/>
      <c r="AD74" s="84"/>
      <c r="AE74" s="84"/>
    </row>
    <row r="75" spans="1:31" s="5" customFormat="1" ht="12.75" customHeight="1">
      <c r="A75" s="29"/>
      <c r="B75" s="12" t="s">
        <v>7</v>
      </c>
      <c r="C75" s="82" t="s">
        <v>114</v>
      </c>
      <c r="D75" s="16"/>
      <c r="E75" s="17">
        <f>ROUND(E20*A96/30,2)</f>
        <v>0</v>
      </c>
      <c r="F75" s="263" t="s">
        <v>84</v>
      </c>
      <c r="G75" s="263"/>
      <c r="H75" s="17">
        <v>3</v>
      </c>
      <c r="I75" s="17">
        <f>IF(D26&lt;$I$99,ROUND((E71+E73+E74+E75+E76)*H75%,2),ROUND(D26*H75%,2))</f>
        <v>54</v>
      </c>
      <c r="J75" s="255"/>
      <c r="K75" s="256"/>
      <c r="L75" s="256"/>
      <c r="M75" s="175"/>
      <c r="N75" s="169"/>
      <c r="T75" s="14"/>
      <c r="U75" s="14"/>
      <c r="V75" s="15"/>
      <c r="W75" s="15"/>
      <c r="X75" s="15"/>
      <c r="Y75" s="15"/>
      <c r="Z75" s="84"/>
      <c r="AA75" s="84"/>
      <c r="AB75" s="84"/>
      <c r="AC75" s="84"/>
      <c r="AD75" s="84"/>
      <c r="AE75" s="84"/>
    </row>
    <row r="76" spans="1:31" s="5" customFormat="1" ht="12.75" customHeight="1">
      <c r="A76" s="29"/>
      <c r="B76" s="12" t="s">
        <v>5</v>
      </c>
      <c r="C76" s="82" t="s">
        <v>172</v>
      </c>
      <c r="D76" s="1"/>
      <c r="E76" s="17">
        <f>ROUND(E21*A96/30,2)</f>
        <v>0</v>
      </c>
      <c r="F76" s="263" t="s">
        <v>85</v>
      </c>
      <c r="G76" s="263"/>
      <c r="H76" s="17">
        <v>3</v>
      </c>
      <c r="I76" s="17">
        <f>IF(D26&lt;$I$99,ROUND((E71+E73+E74+E75+E76)*H76%,2),ROUND(D26*H76%,2))</f>
        <v>54</v>
      </c>
      <c r="J76" s="255" t="s">
        <v>91</v>
      </c>
      <c r="K76" s="254">
        <f>ROUND(((E92+E78+E79+I76+I79)*30/K74)/25,2)</f>
        <v>90.72</v>
      </c>
      <c r="L76" s="254">
        <f>ROUND((E71+E72+E73+E74+E75+E76)/12,2)</f>
        <v>150</v>
      </c>
      <c r="M76" s="175"/>
      <c r="N76" s="170"/>
      <c r="T76" s="14"/>
      <c r="U76" s="14"/>
      <c r="V76" s="15"/>
      <c r="W76" s="15"/>
      <c r="X76" s="15"/>
      <c r="Y76" s="15"/>
      <c r="Z76" s="84"/>
      <c r="AA76" s="84"/>
      <c r="AB76" s="84"/>
      <c r="AC76" s="84"/>
      <c r="AD76" s="84"/>
      <c r="AE76" s="84"/>
    </row>
    <row r="77" spans="1:31" s="5" customFormat="1" ht="12.75" customHeight="1">
      <c r="A77" s="29"/>
      <c r="B77" s="34"/>
      <c r="C77" s="82" t="s">
        <v>281</v>
      </c>
      <c r="D77" s="16"/>
      <c r="E77" s="17">
        <f>I73</f>
        <v>81.900000000000006</v>
      </c>
      <c r="F77" s="263" t="s">
        <v>278</v>
      </c>
      <c r="G77" s="263"/>
      <c r="H77" s="17">
        <v>4</v>
      </c>
      <c r="I77" s="17">
        <f>IF($A$23=0,0,ROUND(650*H77%,2))</f>
        <v>26</v>
      </c>
      <c r="J77" s="255"/>
      <c r="K77" s="254"/>
      <c r="L77" s="254"/>
      <c r="M77" s="175"/>
      <c r="N77" s="170"/>
      <c r="T77" s="14"/>
      <c r="U77" s="14"/>
      <c r="V77" s="15"/>
      <c r="W77" s="15"/>
      <c r="X77" s="15"/>
      <c r="Y77" s="15"/>
      <c r="Z77" s="84"/>
      <c r="AA77" s="84"/>
      <c r="AB77" s="84"/>
      <c r="AC77" s="84"/>
      <c r="AD77" s="84"/>
      <c r="AE77" s="84"/>
    </row>
    <row r="78" spans="1:31" s="5" customFormat="1" ht="12.75" customHeight="1">
      <c r="A78" s="29"/>
      <c r="B78" s="34"/>
      <c r="C78" s="82" t="s">
        <v>282</v>
      </c>
      <c r="D78" s="16"/>
      <c r="E78" s="17">
        <f>I75</f>
        <v>54</v>
      </c>
      <c r="F78" s="263" t="s">
        <v>86</v>
      </c>
      <c r="G78" s="263"/>
      <c r="H78" s="17">
        <v>13.33</v>
      </c>
      <c r="I78" s="17">
        <f>IF(D26&lt;$I$99,ROUND((E71+E73+E74+E75+E76)*H78%,2),ROUND(D26*H78%,2))</f>
        <v>239.94</v>
      </c>
      <c r="J78" s="157" t="s">
        <v>107</v>
      </c>
      <c r="K78" s="24" t="s">
        <v>96</v>
      </c>
      <c r="L78" s="32" t="s">
        <v>95</v>
      </c>
      <c r="M78" s="175"/>
      <c r="N78" s="29"/>
      <c r="T78" s="14"/>
      <c r="U78" s="14"/>
      <c r="V78" s="15"/>
      <c r="W78" s="15"/>
      <c r="X78" s="15"/>
      <c r="Y78" s="15"/>
      <c r="Z78" s="84"/>
      <c r="AA78" s="84"/>
      <c r="AB78" s="84"/>
      <c r="AC78" s="84"/>
      <c r="AD78" s="84"/>
      <c r="AE78" s="84"/>
    </row>
    <row r="79" spans="1:31" s="6" customFormat="1" ht="12.75" customHeight="1">
      <c r="A79" s="29"/>
      <c r="B79" s="12"/>
      <c r="C79" s="82" t="s">
        <v>88</v>
      </c>
      <c r="D79" s="16"/>
      <c r="E79" s="17">
        <f>I78</f>
        <v>239.94</v>
      </c>
      <c r="F79" s="263" t="s">
        <v>87</v>
      </c>
      <c r="G79" s="263"/>
      <c r="H79" s="17">
        <v>6.67</v>
      </c>
      <c r="I79" s="17">
        <f>IF(D26&lt;$I$99,ROUND((E71+E73+E74+E75+E76)*H79%,2),ROUND(D26*H79%,2))</f>
        <v>120.06</v>
      </c>
      <c r="J79" s="156"/>
      <c r="K79" s="156"/>
      <c r="L79" s="156"/>
      <c r="M79" s="175"/>
      <c r="N79" s="109"/>
      <c r="O79" s="109"/>
      <c r="P79" s="109"/>
      <c r="Q79" s="109"/>
      <c r="R79" s="109"/>
      <c r="S79" s="109"/>
      <c r="T79" s="14"/>
      <c r="U79" s="14"/>
      <c r="V79" s="15"/>
      <c r="W79" s="15"/>
      <c r="X79" s="15"/>
      <c r="Y79" s="15"/>
      <c r="Z79" s="109"/>
      <c r="AA79" s="109"/>
      <c r="AB79" s="109"/>
      <c r="AC79" s="109"/>
      <c r="AD79" s="109"/>
      <c r="AE79" s="109"/>
    </row>
    <row r="80" spans="1:31" s="5" customFormat="1" ht="12.75" customHeight="1">
      <c r="A80" s="29"/>
      <c r="B80" s="12"/>
      <c r="C80" s="82" t="s">
        <v>307</v>
      </c>
      <c r="D80" s="16"/>
      <c r="E80" s="99">
        <f>E77+E78+E79</f>
        <v>375.84000000000003</v>
      </c>
      <c r="F80" s="263" t="s">
        <v>308</v>
      </c>
      <c r="G80" s="263"/>
      <c r="H80" s="17">
        <f>H74+H76+H77+H79</f>
        <v>16.22</v>
      </c>
      <c r="I80" s="154">
        <f>I74+I76+I77+I79</f>
        <v>245.96</v>
      </c>
      <c r="J80" s="171"/>
      <c r="K80" s="171"/>
      <c r="L80" s="171"/>
      <c r="M80" s="173"/>
      <c r="T80" s="14"/>
      <c r="U80" s="14"/>
      <c r="V80" s="15"/>
      <c r="W80" s="15"/>
      <c r="X80" s="15"/>
      <c r="Y80" s="15"/>
      <c r="AA80" s="84"/>
      <c r="AB80" s="84"/>
      <c r="AC80" s="84"/>
      <c r="AD80" s="84"/>
      <c r="AE80" s="84"/>
    </row>
    <row r="81" spans="1:31" s="5" customFormat="1" ht="12.75" customHeight="1">
      <c r="A81" s="29"/>
      <c r="B81" s="12"/>
      <c r="C81" s="34"/>
      <c r="D81" s="16"/>
      <c r="E81" s="16"/>
      <c r="F81" s="263" t="s">
        <v>108</v>
      </c>
      <c r="G81" s="263"/>
      <c r="H81" s="17">
        <f>IF($A$54=1,0,2)</f>
        <v>2</v>
      </c>
      <c r="I81" s="17">
        <f>ROUND((E71+E72+E73+E74+E75+E76)*H81%,2)</f>
        <v>36</v>
      </c>
      <c r="J81" s="171"/>
      <c r="K81" s="171"/>
      <c r="L81" s="171"/>
      <c r="M81" s="172"/>
      <c r="N81" s="218"/>
      <c r="O81" s="218"/>
      <c r="T81" s="14"/>
      <c r="U81" s="14"/>
      <c r="V81" s="15"/>
      <c r="W81" s="15"/>
      <c r="X81" s="15"/>
      <c r="Y81" s="15"/>
      <c r="AA81" s="84"/>
      <c r="AB81" s="84"/>
      <c r="AC81" s="84"/>
      <c r="AD81" s="84"/>
      <c r="AE81" s="84"/>
    </row>
    <row r="82" spans="1:31" s="5" customFormat="1" ht="12.75" customHeight="1">
      <c r="A82" s="29"/>
      <c r="B82" s="12"/>
      <c r="C82" s="34"/>
      <c r="D82" s="16"/>
      <c r="E82" s="16"/>
      <c r="F82" s="263" t="s">
        <v>124</v>
      </c>
      <c r="G82" s="263"/>
      <c r="H82" s="17">
        <v>1</v>
      </c>
      <c r="I82" s="17">
        <f>ROUND((E71+E72+E73+E74+E75+E76)*H82%,2)</f>
        <v>18</v>
      </c>
      <c r="J82" s="171"/>
      <c r="K82" s="171"/>
      <c r="L82" s="171"/>
      <c r="M82" s="172"/>
      <c r="N82" s="218"/>
      <c r="O82" s="218"/>
      <c r="T82" s="14"/>
      <c r="U82" s="14"/>
      <c r="V82" s="15"/>
      <c r="W82" s="15"/>
      <c r="X82" s="15"/>
      <c r="Y82" s="15"/>
      <c r="AB82" s="84"/>
      <c r="AC82" s="84"/>
      <c r="AD82" s="84"/>
      <c r="AE82" s="84"/>
    </row>
    <row r="83" spans="1:31" s="5" customFormat="1" ht="12.75" customHeight="1">
      <c r="A83" s="29"/>
      <c r="B83" s="12"/>
      <c r="C83" s="82"/>
      <c r="D83" s="16"/>
      <c r="E83" s="17"/>
      <c r="F83" s="263" t="s">
        <v>39</v>
      </c>
      <c r="G83" s="263"/>
      <c r="H83" s="17"/>
      <c r="I83" s="17">
        <f>H22</f>
        <v>0</v>
      </c>
      <c r="J83" s="171"/>
      <c r="K83" s="171"/>
      <c r="L83" s="171"/>
      <c r="M83" s="172"/>
      <c r="N83" s="218"/>
      <c r="O83" s="218"/>
      <c r="T83" s="14"/>
      <c r="U83" s="14"/>
      <c r="V83" s="15"/>
      <c r="W83" s="15"/>
      <c r="X83" s="15"/>
      <c r="Y83" s="15"/>
      <c r="AB83" s="84"/>
      <c r="AC83" s="84"/>
      <c r="AD83" s="84"/>
      <c r="AE83" s="84"/>
    </row>
    <row r="84" spans="1:31" s="5" customFormat="1" ht="12.75" customHeight="1">
      <c r="B84" s="12"/>
      <c r="C84" s="34"/>
      <c r="D84" s="16"/>
      <c r="E84" s="16"/>
      <c r="F84" s="263" t="s">
        <v>176</v>
      </c>
      <c r="G84" s="263"/>
      <c r="H84" s="17"/>
      <c r="I84" s="17">
        <f>H24</f>
        <v>0</v>
      </c>
      <c r="J84" s="171"/>
      <c r="K84" s="171"/>
      <c r="L84" s="171"/>
      <c r="M84" s="172"/>
      <c r="N84" s="218"/>
      <c r="O84" s="218"/>
      <c r="T84" s="14"/>
      <c r="U84" s="14"/>
      <c r="V84" s="15"/>
      <c r="W84" s="15"/>
      <c r="X84" s="15"/>
      <c r="Y84" s="15"/>
      <c r="AB84" s="84"/>
      <c r="AC84" s="84"/>
      <c r="AD84" s="84"/>
      <c r="AE84" s="84"/>
    </row>
    <row r="85" spans="1:31" s="5" customFormat="1" ht="12.75" customHeight="1">
      <c r="B85" s="12"/>
      <c r="C85" s="34"/>
      <c r="D85" s="16"/>
      <c r="E85" s="16"/>
      <c r="F85" s="263" t="s">
        <v>43</v>
      </c>
      <c r="G85" s="263"/>
      <c r="H85" s="17"/>
      <c r="I85" s="17">
        <f>H25</f>
        <v>0</v>
      </c>
      <c r="J85" s="171"/>
      <c r="K85" s="171"/>
      <c r="L85" s="171"/>
      <c r="M85" s="172"/>
      <c r="N85" s="218"/>
      <c r="O85" s="218"/>
      <c r="T85" s="14"/>
      <c r="U85" s="14"/>
      <c r="V85" s="15"/>
      <c r="W85" s="15"/>
      <c r="X85" s="15"/>
      <c r="Y85" s="15"/>
      <c r="AB85" s="84"/>
      <c r="AC85" s="84"/>
      <c r="AD85" s="84"/>
      <c r="AE85" s="84"/>
    </row>
    <row r="86" spans="1:31" s="5" customFormat="1" ht="12.75" customHeight="1">
      <c r="B86" s="12"/>
      <c r="C86" s="34"/>
      <c r="D86" s="16"/>
      <c r="E86" s="16"/>
      <c r="F86" s="263" t="s">
        <v>62</v>
      </c>
      <c r="G86" s="263"/>
      <c r="H86" s="17" t="s">
        <v>20</v>
      </c>
      <c r="I86" s="17">
        <f>H23</f>
        <v>0</v>
      </c>
      <c r="J86" s="171"/>
      <c r="K86" s="171"/>
      <c r="L86" s="171"/>
      <c r="M86" s="172"/>
      <c r="N86" s="218"/>
      <c r="O86" s="218"/>
      <c r="AB86" s="84"/>
      <c r="AC86" s="84"/>
      <c r="AD86" s="84"/>
      <c r="AE86" s="84"/>
    </row>
    <row r="87" spans="1:31" s="5" customFormat="1" ht="12.75" customHeight="1">
      <c r="B87" s="12"/>
      <c r="C87" s="34"/>
      <c r="D87" s="16"/>
      <c r="E87" s="16"/>
      <c r="F87" s="263" t="s">
        <v>61</v>
      </c>
      <c r="G87" s="263"/>
      <c r="H87" s="17" t="s">
        <v>18</v>
      </c>
      <c r="I87" s="17">
        <v>0</v>
      </c>
      <c r="J87" s="171"/>
      <c r="K87" s="171"/>
      <c r="L87" s="171"/>
      <c r="M87" s="172"/>
      <c r="N87" s="218"/>
      <c r="O87" s="218"/>
      <c r="AB87" s="84"/>
      <c r="AC87" s="84"/>
      <c r="AD87" s="84"/>
      <c r="AE87" s="84"/>
    </row>
    <row r="88" spans="1:31" s="5" customFormat="1" ht="12.75" customHeight="1">
      <c r="A88" s="25"/>
      <c r="B88" s="12"/>
      <c r="C88" s="34"/>
      <c r="D88" s="16"/>
      <c r="E88" s="16"/>
      <c r="F88" s="263" t="s">
        <v>61</v>
      </c>
      <c r="G88" s="263"/>
      <c r="H88" s="17" t="s">
        <v>62</v>
      </c>
      <c r="I88" s="17">
        <v>0</v>
      </c>
      <c r="J88" s="171"/>
      <c r="K88" s="172"/>
      <c r="L88" s="172"/>
      <c r="M88" s="172"/>
      <c r="N88" s="218"/>
      <c r="O88" s="218"/>
      <c r="AB88" s="84"/>
      <c r="AC88" s="84"/>
      <c r="AD88" s="84"/>
      <c r="AE88" s="84"/>
    </row>
    <row r="89" spans="1:31" s="5" customFormat="1" ht="11.25" customHeight="1">
      <c r="A89" s="25"/>
      <c r="B89" s="12"/>
      <c r="C89" s="82"/>
      <c r="D89" s="16"/>
      <c r="E89" s="17"/>
      <c r="F89" s="263" t="s">
        <v>98</v>
      </c>
      <c r="G89" s="263"/>
      <c r="H89" s="17" t="s">
        <v>2</v>
      </c>
      <c r="I89" s="17">
        <f>I87+I88</f>
        <v>0</v>
      </c>
      <c r="J89" s="171"/>
      <c r="K89" s="172"/>
      <c r="L89" s="172"/>
      <c r="M89" s="172"/>
      <c r="N89" s="218"/>
      <c r="O89" s="218"/>
      <c r="AB89" s="84"/>
      <c r="AC89" s="84"/>
      <c r="AD89" s="84"/>
      <c r="AE89" s="84"/>
    </row>
    <row r="90" spans="1:31" s="5" customFormat="1" ht="12.75" customHeight="1">
      <c r="A90" s="25"/>
      <c r="B90" s="12"/>
      <c r="C90" s="82"/>
      <c r="D90" s="16"/>
      <c r="E90" s="17"/>
      <c r="F90" s="263" t="s">
        <v>42</v>
      </c>
      <c r="G90" s="263"/>
      <c r="H90" s="17"/>
      <c r="I90" s="17">
        <v>0</v>
      </c>
      <c r="J90" s="171"/>
      <c r="K90" s="172"/>
      <c r="L90" s="172"/>
      <c r="M90" s="172"/>
      <c r="N90" s="218"/>
      <c r="O90" s="218"/>
      <c r="AB90" s="84"/>
      <c r="AC90" s="84"/>
      <c r="AD90" s="84"/>
      <c r="AE90" s="84"/>
    </row>
    <row r="91" spans="1:31" s="5" customFormat="1" ht="12.75" customHeight="1">
      <c r="A91" s="25"/>
      <c r="B91" s="12"/>
      <c r="C91" s="82"/>
      <c r="D91" s="16"/>
      <c r="E91" s="17"/>
      <c r="F91" s="263" t="s">
        <v>173</v>
      </c>
      <c r="G91" s="263"/>
      <c r="H91" s="17"/>
      <c r="I91" s="17">
        <f>ROUND(G63*A96/30,2)</f>
        <v>9.2200000000000006</v>
      </c>
      <c r="J91" s="171"/>
      <c r="K91" s="172"/>
      <c r="L91" s="172"/>
      <c r="M91" s="172"/>
      <c r="N91" s="218"/>
      <c r="O91" s="218"/>
      <c r="AB91" s="84"/>
      <c r="AC91" s="84"/>
      <c r="AD91" s="84"/>
      <c r="AE91" s="84"/>
    </row>
    <row r="92" spans="1:31" s="5" customFormat="1" ht="12.75" customHeight="1">
      <c r="A92" s="25"/>
      <c r="B92" s="12"/>
      <c r="C92" s="82" t="s">
        <v>47</v>
      </c>
      <c r="D92" s="16"/>
      <c r="E92" s="99">
        <f>E71+E72+E73+E74+E75+E76</f>
        <v>1800</v>
      </c>
      <c r="F92" s="263" t="s">
        <v>48</v>
      </c>
      <c r="G92" s="263"/>
      <c r="H92" s="234"/>
      <c r="I92" s="99">
        <f>I71+I72+I80+I81+I82+I83+I84+I85+I86+I89+I90+I91</f>
        <v>537.62</v>
      </c>
      <c r="J92" s="171"/>
      <c r="K92" s="172"/>
      <c r="L92" s="172"/>
      <c r="M92" s="172"/>
      <c r="N92" s="218"/>
      <c r="O92" s="218"/>
      <c r="AB92" s="84"/>
      <c r="AC92" s="84"/>
      <c r="AD92" s="84"/>
      <c r="AE92" s="84"/>
    </row>
    <row r="93" spans="1:31" s="5" customFormat="1" ht="12.75" customHeight="1">
      <c r="A93" s="25"/>
      <c r="B93" s="12"/>
      <c r="C93" s="82"/>
      <c r="D93" s="16"/>
      <c r="E93" s="17"/>
      <c r="F93" s="263"/>
      <c r="G93" s="263"/>
      <c r="H93" s="263"/>
      <c r="I93" s="17"/>
      <c r="J93" s="171"/>
      <c r="K93" s="172"/>
      <c r="L93" s="171"/>
      <c r="M93" s="171"/>
      <c r="N93" s="113"/>
      <c r="O93" s="113"/>
      <c r="P93" s="11"/>
      <c r="Q93" s="11"/>
      <c r="R93" s="11"/>
      <c r="S93" s="11"/>
      <c r="T93" s="11"/>
      <c r="U93" s="11"/>
      <c r="V93" s="84"/>
      <c r="W93" s="84"/>
      <c r="X93" s="84"/>
      <c r="Y93" s="84"/>
      <c r="Z93" s="84"/>
      <c r="AA93" s="84"/>
      <c r="AB93" s="84"/>
      <c r="AC93" s="84"/>
      <c r="AD93" s="84"/>
      <c r="AE93" s="84"/>
    </row>
    <row r="94" spans="1:31" s="5" customFormat="1" ht="12.75" customHeight="1">
      <c r="A94" s="25"/>
      <c r="B94" s="12"/>
      <c r="C94" s="82" t="s">
        <v>47</v>
      </c>
      <c r="D94" s="16"/>
      <c r="E94" s="17">
        <f>E92</f>
        <v>1800</v>
      </c>
      <c r="F94" s="263"/>
      <c r="G94" s="263"/>
      <c r="H94" s="263"/>
      <c r="I94" s="17"/>
      <c r="J94" s="171"/>
      <c r="K94" s="172"/>
      <c r="L94" s="171"/>
      <c r="M94" s="171"/>
      <c r="N94" s="113"/>
      <c r="O94" s="113"/>
      <c r="P94" s="11"/>
      <c r="Q94" s="11"/>
      <c r="R94" s="11"/>
      <c r="S94" s="11"/>
      <c r="T94" s="11"/>
      <c r="U94" s="11"/>
      <c r="V94" s="84"/>
      <c r="W94" s="84"/>
      <c r="X94" s="84"/>
      <c r="Y94" s="84"/>
      <c r="Z94" s="84"/>
      <c r="AA94" s="84"/>
      <c r="AB94" s="84"/>
      <c r="AC94" s="84"/>
      <c r="AD94" s="84"/>
      <c r="AE94" s="84"/>
    </row>
    <row r="95" spans="1:31" s="5" customFormat="1" ht="12.75" customHeight="1">
      <c r="A95" s="25"/>
      <c r="B95" s="12"/>
      <c r="C95" s="82" t="s">
        <v>48</v>
      </c>
      <c r="D95" s="16"/>
      <c r="E95" s="17">
        <f>I92</f>
        <v>537.62</v>
      </c>
      <c r="F95" s="268"/>
      <c r="G95" s="263"/>
      <c r="H95" s="263"/>
      <c r="I95" s="17"/>
      <c r="J95" s="171"/>
      <c r="K95" s="172"/>
      <c r="L95" s="171"/>
      <c r="M95" s="171"/>
      <c r="N95" s="113"/>
      <c r="O95" s="113"/>
      <c r="P95" s="11"/>
      <c r="Q95" s="11"/>
      <c r="R95" s="11"/>
      <c r="S95" s="11"/>
      <c r="T95" s="11"/>
      <c r="U95" s="11"/>
      <c r="V95" s="84"/>
      <c r="W95" s="84"/>
      <c r="X95" s="84"/>
      <c r="Y95" s="84"/>
      <c r="Z95" s="84"/>
      <c r="AA95" s="84"/>
      <c r="AB95" s="84"/>
      <c r="AC95" s="84"/>
      <c r="AD95" s="84"/>
      <c r="AE95" s="84"/>
    </row>
    <row r="96" spans="1:31" s="5" customFormat="1" ht="12.75" customHeight="1">
      <c r="A96" s="26">
        <v>30</v>
      </c>
      <c r="B96" s="122"/>
      <c r="C96" s="125" t="s">
        <v>55</v>
      </c>
      <c r="D96" s="16"/>
      <c r="E96" s="124">
        <f>E94-E95</f>
        <v>1262.3800000000001</v>
      </c>
      <c r="F96" s="279"/>
      <c r="G96" s="279"/>
      <c r="H96" s="279"/>
      <c r="I96" s="17"/>
      <c r="J96" s="171"/>
      <c r="K96" s="172"/>
      <c r="L96" s="171"/>
      <c r="M96" s="171"/>
      <c r="N96" s="113"/>
      <c r="O96" s="113"/>
      <c r="P96" s="11"/>
      <c r="Q96" s="11"/>
      <c r="R96" s="11"/>
      <c r="S96" s="11"/>
      <c r="T96" s="11"/>
      <c r="U96" s="11"/>
      <c r="V96" s="84"/>
      <c r="W96" s="84"/>
      <c r="X96" s="84"/>
      <c r="Y96" s="84"/>
      <c r="Z96" s="84"/>
      <c r="AA96" s="84"/>
      <c r="AB96" s="84"/>
      <c r="AC96" s="84"/>
      <c r="AD96" s="84"/>
      <c r="AE96" s="84"/>
    </row>
    <row r="97" spans="1:31" s="5" customFormat="1" ht="12.75" customHeight="1">
      <c r="A97" s="25"/>
      <c r="B97" s="122"/>
      <c r="C97" s="123" t="s">
        <v>49</v>
      </c>
      <c r="D97" s="16"/>
      <c r="E97" s="124">
        <f>ROUND(E96/2,2)</f>
        <v>631.19000000000005</v>
      </c>
      <c r="F97" s="278"/>
      <c r="G97" s="263"/>
      <c r="H97" s="263"/>
      <c r="I97" s="28"/>
      <c r="J97" s="172"/>
      <c r="K97" s="172"/>
      <c r="L97" s="171"/>
      <c r="M97" s="171"/>
      <c r="N97" s="222"/>
      <c r="O97" s="222"/>
      <c r="P97" s="84"/>
      <c r="Q97" s="84"/>
      <c r="R97" s="84"/>
      <c r="S97" s="84"/>
      <c r="T97" s="11"/>
      <c r="U97" s="11"/>
      <c r="V97" s="84"/>
      <c r="W97" s="84"/>
      <c r="X97" s="84"/>
      <c r="Y97" s="84"/>
      <c r="Z97" s="84"/>
      <c r="AA97" s="84"/>
      <c r="AB97" s="84"/>
      <c r="AC97" s="84"/>
      <c r="AD97" s="84"/>
      <c r="AE97" s="84"/>
    </row>
    <row r="98" spans="1:31" s="5" customFormat="1" ht="12.75" customHeight="1">
      <c r="A98" s="25"/>
      <c r="B98" s="34"/>
      <c r="C98" s="34"/>
      <c r="D98" s="16"/>
      <c r="E98" s="16"/>
      <c r="F98" s="278"/>
      <c r="G98" s="263"/>
      <c r="H98" s="263"/>
      <c r="I98" s="34"/>
      <c r="J98" s="171"/>
      <c r="K98" s="171"/>
      <c r="L98" s="171"/>
      <c r="M98" s="171"/>
      <c r="N98" s="113"/>
      <c r="O98" s="113"/>
      <c r="P98" s="11"/>
      <c r="Q98" s="11"/>
      <c r="R98" s="11"/>
      <c r="S98" s="11"/>
      <c r="T98" s="11"/>
      <c r="U98" s="11"/>
      <c r="V98" s="84"/>
      <c r="W98" s="84"/>
      <c r="X98" s="84"/>
      <c r="Y98" s="84"/>
      <c r="Z98" s="84"/>
      <c r="AA98" s="84"/>
      <c r="AB98" s="84"/>
      <c r="AC98" s="84"/>
      <c r="AD98" s="84"/>
      <c r="AE98" s="84"/>
    </row>
    <row r="99" spans="1:31" s="5" customFormat="1" ht="12.75" customHeight="1">
      <c r="A99" s="25"/>
      <c r="B99" s="34"/>
      <c r="C99" s="234" t="s">
        <v>261</v>
      </c>
      <c r="D99" s="234"/>
      <c r="E99" s="234"/>
      <c r="F99" s="235"/>
      <c r="G99" s="235"/>
      <c r="H99" s="16" t="s">
        <v>0</v>
      </c>
      <c r="I99" s="99">
        <v>5860.8</v>
      </c>
      <c r="J99" s="171"/>
      <c r="K99" s="171"/>
      <c r="L99" s="171"/>
      <c r="M99" s="171"/>
      <c r="N99" s="113"/>
      <c r="O99" s="113"/>
      <c r="P99" s="11"/>
      <c r="Q99" s="11"/>
      <c r="R99" s="11"/>
      <c r="S99" s="11"/>
      <c r="T99" s="11"/>
      <c r="U99" s="11"/>
      <c r="V99" s="84"/>
      <c r="W99" s="84"/>
      <c r="X99" s="84"/>
      <c r="Y99" s="84"/>
      <c r="Z99" s="84"/>
      <c r="AA99" s="84"/>
      <c r="AB99" s="84"/>
      <c r="AC99" s="84"/>
      <c r="AD99" s="84"/>
      <c r="AE99" s="84"/>
    </row>
    <row r="100" spans="1:31" s="5" customFormat="1" ht="12.75" customHeight="1">
      <c r="A100" s="25"/>
      <c r="B100" s="151"/>
      <c r="C100" s="151"/>
      <c r="D100" s="151"/>
      <c r="E100" s="151"/>
      <c r="F100" s="151"/>
      <c r="G100" s="151"/>
      <c r="H100" s="151"/>
      <c r="I100" s="151"/>
      <c r="J100" s="171"/>
      <c r="K100" s="171"/>
      <c r="L100" s="171"/>
      <c r="M100" s="171"/>
      <c r="N100" s="113"/>
      <c r="O100" s="113"/>
      <c r="P100" s="11"/>
      <c r="Q100" s="11"/>
      <c r="R100" s="11"/>
      <c r="S100" s="11"/>
      <c r="T100" s="11"/>
      <c r="U100" s="11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</row>
    <row r="101" spans="1:31" s="5" customFormat="1" ht="12.75" customHeight="1">
      <c r="A101" s="7"/>
      <c r="B101" s="84"/>
      <c r="C101" s="84"/>
      <c r="D101" s="11"/>
      <c r="E101" s="11"/>
      <c r="F101" s="84"/>
      <c r="G101" s="84"/>
      <c r="H101" s="84"/>
      <c r="I101" s="84"/>
      <c r="J101" s="156"/>
      <c r="K101" s="156"/>
      <c r="L101" s="156"/>
      <c r="M101" s="156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</row>
    <row r="102" spans="1:31" s="5" customFormat="1" ht="12.75" customHeight="1">
      <c r="A102" s="7"/>
      <c r="B102" s="84"/>
      <c r="C102" s="84"/>
      <c r="D102" s="132" t="str">
        <f>'ΜΙΣΘΟΔΟΣΙΑ ΜΟΝΙΜΩΝ'!D102</f>
        <v>Βασίλειος Ι. Χουλιάρας</v>
      </c>
      <c r="E102" s="132"/>
      <c r="F102" s="84"/>
      <c r="G102" s="84"/>
      <c r="H102" s="84"/>
      <c r="I102" s="84"/>
      <c r="J102" s="156"/>
      <c r="K102" s="156"/>
      <c r="L102" s="156"/>
      <c r="M102" s="156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</row>
    <row r="103" spans="1:31" s="5" customFormat="1" ht="12.75" customHeight="1">
      <c r="A103" s="7"/>
      <c r="B103" s="84"/>
      <c r="C103" s="84"/>
      <c r="D103" s="132" t="str">
        <f>'ΜΙΣΘΟΔΟΣΙΑ ΜΟΝΙΜΩΝ'!D103</f>
        <v>ΠΕ 03 - Μαθηματικός</v>
      </c>
      <c r="E103" s="132"/>
      <c r="F103" s="84"/>
      <c r="G103" s="84"/>
      <c r="H103" s="84"/>
      <c r="I103" s="84"/>
      <c r="J103" s="156"/>
      <c r="K103" s="156"/>
      <c r="L103" s="156"/>
      <c r="M103" s="156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</row>
    <row r="104" spans="1:31" s="5" customFormat="1" ht="12.75" customHeight="1">
      <c r="A104" s="7"/>
      <c r="B104" s="84"/>
      <c r="C104" s="84"/>
      <c r="D104" s="132" t="str">
        <f>'ΜΙΣΘΟΔΟΣΙΑ ΜΟΝΙΜΩΝ'!D104</f>
        <v>Υ/Δντής 1ου Γενικού Λυκείου Αγρινίου</v>
      </c>
      <c r="E104" s="132"/>
      <c r="F104" s="84"/>
      <c r="G104" s="84"/>
      <c r="H104" s="84"/>
      <c r="I104" s="84"/>
    </row>
    <row r="105" spans="1:31" s="8" customFormat="1" ht="12.75" customHeight="1">
      <c r="A105" s="7"/>
      <c r="B105" s="84"/>
      <c r="C105" s="84"/>
      <c r="D105" s="132"/>
      <c r="E105" s="132"/>
      <c r="F105" s="84"/>
      <c r="G105" s="84"/>
      <c r="H105" s="84"/>
      <c r="I105" s="84"/>
    </row>
    <row r="106" spans="1:31" s="5" customFormat="1" ht="12.75" customHeight="1">
      <c r="A106" s="7"/>
      <c r="D106" s="132" t="str">
        <f>'ΜΙΣΘΟΔΟΣΙΑ ΜΟΝΙΜΩΝ'!D106</f>
        <v>Για πληροφορίες, ερωτήματα, σχόλια</v>
      </c>
      <c r="E106" s="133"/>
    </row>
    <row r="107" spans="1:31" s="5" customFormat="1" ht="12.75" customHeight="1">
      <c r="A107" s="7"/>
      <c r="D107" s="132" t="str">
        <f>'ΜΙΣΘΟΔΟΣΙΑ ΜΟΝΙΜΩΝ'!D107</f>
        <v>και παρατηρήσεις επικοινωνήστε:</v>
      </c>
      <c r="E107" s="133"/>
    </row>
    <row r="108" spans="1:31" s="5" customFormat="1" ht="12.75" customHeight="1">
      <c r="A108" s="7"/>
      <c r="D108" s="132" t="str">
        <f>'ΜΙΣΘΟΔΟΣΙΑ ΜΟΝΙΜΩΝ'!D108</f>
        <v>e-mail: choulvas@sch.gr</v>
      </c>
      <c r="E108" s="133"/>
    </row>
    <row r="109" spans="1:31" s="5" customFormat="1" ht="12.75" customHeight="1">
      <c r="A109" s="7"/>
      <c r="D109" s="132" t="str">
        <f>'ΜΙΣΘΟΔΟΣΙΑ ΜΟΝΙΜΩΝ'!D109</f>
        <v>τηλ.: 6976285698</v>
      </c>
      <c r="E109" s="133"/>
    </row>
    <row r="110" spans="1:31" s="5" customFormat="1">
      <c r="A110" s="7"/>
    </row>
    <row r="111" spans="1:31" s="5" customFormat="1">
      <c r="A111" s="7"/>
    </row>
    <row r="112" spans="1:31" s="5" customFormat="1">
      <c r="A112" s="7"/>
    </row>
    <row r="113" spans="1:1" s="5" customFormat="1">
      <c r="A113" s="7"/>
    </row>
    <row r="114" spans="1:1" s="5" customFormat="1">
      <c r="A114" s="7"/>
    </row>
    <row r="115" spans="1:1" s="5" customFormat="1">
      <c r="A115" s="7"/>
    </row>
    <row r="116" spans="1:1" s="5" customFormat="1">
      <c r="A116" s="7"/>
    </row>
    <row r="117" spans="1:1" s="5" customFormat="1"/>
    <row r="118" spans="1:1" s="5" customFormat="1"/>
    <row r="119" spans="1:1" s="5" customFormat="1"/>
    <row r="120" spans="1:1" s="5" customFormat="1"/>
    <row r="121" spans="1:1" s="5" customFormat="1"/>
    <row r="122" spans="1:1" s="5" customFormat="1"/>
    <row r="123" spans="1:1" s="5" customFormat="1"/>
    <row r="124" spans="1:1" s="5" customFormat="1"/>
    <row r="125" spans="1:1" s="5" customFormat="1"/>
    <row r="126" spans="1:1" s="5" customFormat="1"/>
    <row r="127" spans="1:1" s="5" customFormat="1"/>
    <row r="128" spans="1:1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pans="10:21" s="5" customFormat="1"/>
    <row r="178" spans="10:21" s="5" customFormat="1"/>
    <row r="179" spans="10:21" s="5" customFormat="1"/>
    <row r="180" spans="10:21" s="5" customFormat="1"/>
    <row r="181" spans="10:21" s="5" customFormat="1"/>
    <row r="182" spans="10:21" s="5" customFormat="1"/>
    <row r="183" spans="10:21" s="5" customFormat="1"/>
    <row r="184" spans="10:21" s="5" customFormat="1"/>
    <row r="185" spans="10:21" s="5" customFormat="1"/>
    <row r="186" spans="10:21" s="5" customFormat="1"/>
    <row r="187" spans="10:21" s="5" customFormat="1"/>
    <row r="188" spans="10:21" s="5" customFormat="1"/>
    <row r="189" spans="10:21" s="5" customFormat="1"/>
    <row r="190" spans="10:21" s="5" customFormat="1"/>
    <row r="191" spans="10:21" s="5" customFormat="1"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10:21" s="5" customFormat="1"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10:21" s="5" customFormat="1"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10:21" s="5" customFormat="1"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10:21" s="5" customFormat="1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10:21" s="5" customFormat="1"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10:21" s="5" customFormat="1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10:21" s="5" customFormat="1"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10:21" s="5" customFormat="1"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10:21" s="5" customFormat="1"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10:21" s="5" customFormat="1"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10:21" s="5" customFormat="1"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10:21" s="5" customFormat="1"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10:21" s="5" customFormat="1"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10:21" s="5" customFormat="1"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10:21" s="5" customFormat="1"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10:21" s="5" customFormat="1"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0:21" s="5" customFormat="1"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10:21" s="5" customFormat="1"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10:21" s="5" customFormat="1"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0:21" s="5" customFormat="1"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0:21" s="5" customFormat="1"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0:21" s="5" customFormat="1"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0:21" s="5" customFormat="1"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10:21" s="5" customFormat="1"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10:21" s="5" customFormat="1"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10:21" s="5" customFormat="1"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10:21" s="5" customFormat="1"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10:21" s="5" customFormat="1"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10:21" s="5" customFormat="1"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</row>
    <row r="221" spans="10:21" s="5" customFormat="1"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</row>
    <row r="222" spans="10:21" s="5" customFormat="1"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</row>
    <row r="223" spans="10:21" s="5" customFormat="1"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</row>
    <row r="224" spans="10:21" s="5" customFormat="1"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</row>
    <row r="225" spans="10:21" s="5" customFormat="1"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</row>
    <row r="226" spans="10:21" s="5" customFormat="1"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</row>
    <row r="227" spans="10:21" s="5" customFormat="1"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</row>
    <row r="228" spans="10:21" s="5" customFormat="1"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</row>
    <row r="229" spans="10:21" s="5" customFormat="1"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</row>
    <row r="230" spans="10:21" s="5" customFormat="1"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</row>
    <row r="231" spans="10:21" s="5" customFormat="1"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</row>
    <row r="232" spans="10:21" s="5" customFormat="1"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0:21" s="5" customFormat="1"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</row>
    <row r="234" spans="10:21" s="5" customFormat="1"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</row>
    <row r="235" spans="10:21" s="5" customFormat="1"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0:21" s="5" customFormat="1"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0:21" s="5" customFormat="1"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</row>
    <row r="238" spans="10:21" s="5" customFormat="1"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</row>
    <row r="239" spans="10:21" s="5" customFormat="1"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</row>
    <row r="240" spans="10:21" s="5" customFormat="1"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</row>
    <row r="241" spans="10:21" s="5" customFormat="1"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</row>
    <row r="242" spans="10:21" s="5" customFormat="1"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</row>
    <row r="243" spans="10:21" s="5" customFormat="1"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</row>
    <row r="244" spans="10:21" s="5" customFormat="1"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</row>
    <row r="245" spans="10:21" s="5" customFormat="1"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</row>
    <row r="246" spans="10:21" s="5" customFormat="1"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</row>
    <row r="247" spans="10:21" s="5" customFormat="1"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</row>
    <row r="248" spans="10:21" s="5" customFormat="1"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</row>
    <row r="249" spans="10:21" s="5" customFormat="1"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</row>
    <row r="250" spans="10:21" s="5" customFormat="1"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</row>
    <row r="251" spans="10:21" s="5" customFormat="1"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</row>
    <row r="252" spans="10:21" s="5" customFormat="1"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</row>
    <row r="253" spans="10:21" s="5" customFormat="1"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</row>
    <row r="254" spans="10:21" s="5" customFormat="1"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</row>
    <row r="255" spans="10:21" s="5" customFormat="1"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</row>
    <row r="256" spans="10:21" s="5" customFormat="1"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</row>
    <row r="257" spans="10:21" s="5" customFormat="1"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</row>
    <row r="258" spans="10:21" s="5" customFormat="1"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</row>
    <row r="259" spans="10:21" s="5" customFormat="1"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</row>
    <row r="260" spans="10:21" s="5" customFormat="1"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</row>
    <row r="261" spans="10:21" s="5" customFormat="1"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</row>
    <row r="262" spans="10:21" s="5" customFormat="1"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</row>
    <row r="263" spans="10:21" s="5" customFormat="1"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</row>
    <row r="264" spans="10:21" s="5" customFormat="1"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</row>
    <row r="265" spans="10:21" s="5" customFormat="1"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</row>
    <row r="266" spans="10:21" s="5" customFormat="1"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</row>
    <row r="267" spans="10:21" s="5" customFormat="1"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</row>
    <row r="268" spans="10:21" s="5" customFormat="1"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</row>
    <row r="269" spans="10:21" s="5" customFormat="1"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</row>
    <row r="270" spans="10:21" s="5" customFormat="1"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</row>
    <row r="271" spans="10:21" s="5" customFormat="1"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</row>
    <row r="272" spans="10:21" s="5" customFormat="1"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</row>
    <row r="273" spans="10:21" s="5" customFormat="1"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</row>
    <row r="274" spans="10:21" s="5" customFormat="1"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</row>
    <row r="275" spans="10:21" s="5" customFormat="1"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</row>
    <row r="276" spans="10:21" s="5" customFormat="1"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</row>
    <row r="277" spans="10:21" s="5" customFormat="1"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</row>
    <row r="278" spans="10:21" s="5" customFormat="1"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</row>
    <row r="279" spans="10:21" s="5" customFormat="1"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</row>
    <row r="280" spans="10:21" s="5" customFormat="1"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</row>
    <row r="281" spans="10:21" s="5" customFormat="1"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</row>
    <row r="282" spans="10:21" s="5" customFormat="1"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</row>
    <row r="283" spans="10:21" s="5" customFormat="1"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</row>
    <row r="284" spans="10:21" s="5" customFormat="1"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</row>
    <row r="285" spans="10:21" s="5" customFormat="1"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</row>
    <row r="286" spans="10:21" s="5" customFormat="1"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</row>
    <row r="287" spans="10:21" s="5" customFormat="1"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</row>
    <row r="288" spans="10:21" s="5" customFormat="1"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</row>
    <row r="289" spans="10:21" s="5" customFormat="1"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</row>
    <row r="290" spans="10:21" s="5" customFormat="1"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</row>
    <row r="291" spans="10:21" s="5" customFormat="1"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</row>
    <row r="292" spans="10:21" s="5" customFormat="1"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</row>
    <row r="293" spans="10:21" s="5" customFormat="1"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</row>
    <row r="294" spans="10:21" s="5" customFormat="1"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</row>
    <row r="295" spans="10:21" s="5" customFormat="1"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</row>
    <row r="296" spans="10:21" s="5" customFormat="1"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</row>
    <row r="297" spans="10:21" s="5" customFormat="1"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</row>
    <row r="298" spans="10:21" s="5" customFormat="1"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</row>
    <row r="299" spans="10:21" s="5" customFormat="1"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</row>
    <row r="300" spans="10:21" s="5" customFormat="1"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</row>
    <row r="301" spans="10:21" s="5" customFormat="1"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</row>
    <row r="302" spans="10:21" s="5" customFormat="1"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</row>
    <row r="303" spans="10:21" s="5" customFormat="1"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</row>
    <row r="304" spans="10:21" s="5" customFormat="1"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</row>
    <row r="305" spans="10:21" s="5" customFormat="1"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</row>
    <row r="306" spans="10:21" s="5" customFormat="1"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</row>
    <row r="307" spans="10:21" s="5" customFormat="1"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</row>
    <row r="308" spans="10:21" s="5" customFormat="1"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</row>
    <row r="309" spans="10:21" s="5" customFormat="1"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</row>
    <row r="310" spans="10:21" s="5" customFormat="1"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</row>
    <row r="311" spans="10:21" s="5" customFormat="1"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</row>
    <row r="312" spans="10:21" s="5" customFormat="1"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</row>
    <row r="313" spans="10:21" s="5" customFormat="1"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</row>
    <row r="314" spans="10:21" s="5" customFormat="1"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</row>
    <row r="315" spans="10:21" s="5" customFormat="1"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</row>
    <row r="316" spans="10:21" s="5" customFormat="1"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</row>
    <row r="317" spans="10:21" s="5" customFormat="1">
      <c r="T317" s="8"/>
      <c r="U317" s="8"/>
    </row>
    <row r="318" spans="10:21" s="5" customFormat="1">
      <c r="T318" s="8"/>
      <c r="U318" s="8"/>
    </row>
    <row r="319" spans="10:21" s="5" customFormat="1">
      <c r="T319" s="8"/>
      <c r="U319" s="8"/>
    </row>
    <row r="320" spans="10:21" s="5" customFormat="1">
      <c r="T320" s="8"/>
      <c r="U320" s="8"/>
    </row>
    <row r="321" spans="10:21" s="5" customFormat="1">
      <c r="T321" s="8"/>
      <c r="U321" s="8"/>
    </row>
    <row r="322" spans="10:21" s="5" customFormat="1">
      <c r="T322" s="8"/>
      <c r="U322" s="8"/>
    </row>
    <row r="323" spans="10:21" s="5" customFormat="1"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</row>
    <row r="324" spans="10:21" s="5" customFormat="1">
      <c r="T324" s="8"/>
      <c r="U324" s="8"/>
    </row>
    <row r="325" spans="10:21" s="5" customFormat="1">
      <c r="T325" s="8"/>
      <c r="U325" s="8"/>
    </row>
    <row r="326" spans="10:21" s="5" customFormat="1">
      <c r="T326" s="8"/>
      <c r="U326" s="8"/>
    </row>
    <row r="327" spans="10:21" s="5" customFormat="1">
      <c r="T327" s="8"/>
      <c r="U327" s="8"/>
    </row>
    <row r="328" spans="10:21" s="5" customFormat="1">
      <c r="T328" s="8"/>
      <c r="U328" s="8"/>
    </row>
    <row r="329" spans="10:21" s="5" customFormat="1">
      <c r="T329" s="8"/>
      <c r="U329" s="8"/>
    </row>
    <row r="330" spans="10:21" s="5" customFormat="1">
      <c r="T330" s="8"/>
      <c r="U330" s="8"/>
    </row>
    <row r="331" spans="10:21" s="5" customFormat="1">
      <c r="T331" s="8"/>
      <c r="U331" s="8"/>
    </row>
    <row r="332" spans="10:21" s="5" customFormat="1">
      <c r="T332" s="8"/>
      <c r="U332" s="8"/>
    </row>
    <row r="333" spans="10:21" s="5" customFormat="1">
      <c r="T333" s="8"/>
      <c r="U333" s="8"/>
    </row>
    <row r="334" spans="10:21" s="5" customFormat="1">
      <c r="T334" s="8"/>
      <c r="U334" s="8"/>
    </row>
    <row r="335" spans="10:21" s="5" customFormat="1">
      <c r="T335" s="8"/>
      <c r="U335" s="8"/>
    </row>
    <row r="336" spans="10:21" s="5" customFormat="1">
      <c r="T336" s="8"/>
      <c r="U336" s="8"/>
    </row>
    <row r="337" spans="20:21" s="5" customFormat="1">
      <c r="T337" s="8"/>
      <c r="U337" s="8"/>
    </row>
    <row r="338" spans="20:21" s="5" customFormat="1">
      <c r="T338" s="8"/>
      <c r="U338" s="8"/>
    </row>
    <row r="339" spans="20:21" s="5" customFormat="1">
      <c r="T339" s="8"/>
      <c r="U339" s="8"/>
    </row>
    <row r="340" spans="20:21" s="5" customFormat="1">
      <c r="T340" s="8"/>
      <c r="U340" s="8"/>
    </row>
    <row r="341" spans="20:21" s="5" customFormat="1">
      <c r="T341" s="8"/>
      <c r="U341" s="8"/>
    </row>
    <row r="342" spans="20:21" s="5" customFormat="1">
      <c r="T342" s="8"/>
      <c r="U342" s="8"/>
    </row>
    <row r="343" spans="20:21" s="5" customFormat="1">
      <c r="T343" s="8"/>
      <c r="U343" s="8"/>
    </row>
    <row r="344" spans="20:21" s="5" customFormat="1">
      <c r="T344" s="8"/>
      <c r="U344" s="8"/>
    </row>
    <row r="345" spans="20:21" s="5" customFormat="1">
      <c r="T345" s="8"/>
      <c r="U345" s="8"/>
    </row>
    <row r="346" spans="20:21" s="5" customFormat="1">
      <c r="T346" s="8"/>
      <c r="U346" s="8"/>
    </row>
    <row r="347" spans="20:21" s="5" customFormat="1">
      <c r="T347" s="8"/>
      <c r="U347" s="8"/>
    </row>
    <row r="348" spans="20:21" s="5" customFormat="1">
      <c r="T348" s="8"/>
      <c r="U348" s="8"/>
    </row>
    <row r="349" spans="20:21" s="5" customFormat="1">
      <c r="T349" s="8"/>
      <c r="U349" s="8"/>
    </row>
    <row r="350" spans="20:21" s="5" customFormat="1">
      <c r="T350" s="8"/>
      <c r="U350" s="8"/>
    </row>
    <row r="351" spans="20:21" s="5" customFormat="1">
      <c r="T351" s="8"/>
      <c r="U351" s="8"/>
    </row>
    <row r="352" spans="20:21" s="5" customFormat="1">
      <c r="T352" s="8"/>
      <c r="U352" s="8"/>
    </row>
    <row r="353" spans="20:21" s="5" customFormat="1">
      <c r="T353" s="8"/>
      <c r="U353" s="8"/>
    </row>
    <row r="354" spans="20:21" s="5" customFormat="1">
      <c r="T354" s="8"/>
      <c r="U354" s="8"/>
    </row>
    <row r="355" spans="20:21" s="5" customFormat="1">
      <c r="T355" s="8"/>
      <c r="U355" s="8"/>
    </row>
    <row r="356" spans="20:21" s="5" customFormat="1">
      <c r="T356" s="8"/>
      <c r="U356" s="8"/>
    </row>
    <row r="357" spans="20:21" s="5" customFormat="1">
      <c r="T357" s="8"/>
      <c r="U357" s="8"/>
    </row>
    <row r="358" spans="20:21" s="5" customFormat="1">
      <c r="T358" s="8"/>
      <c r="U358" s="8"/>
    </row>
    <row r="359" spans="20:21" s="5" customFormat="1">
      <c r="T359" s="8"/>
      <c r="U359" s="8"/>
    </row>
    <row r="360" spans="20:21" s="5" customFormat="1">
      <c r="T360" s="8"/>
      <c r="U360" s="8"/>
    </row>
    <row r="361" spans="20:21" s="5" customFormat="1">
      <c r="T361" s="8"/>
      <c r="U361" s="8"/>
    </row>
    <row r="362" spans="20:21" s="5" customFormat="1">
      <c r="T362" s="8"/>
      <c r="U362" s="8"/>
    </row>
    <row r="363" spans="20:21" s="5" customFormat="1">
      <c r="T363" s="8"/>
      <c r="U363" s="8"/>
    </row>
    <row r="364" spans="20:21" s="5" customFormat="1">
      <c r="T364" s="8"/>
      <c r="U364" s="8"/>
    </row>
    <row r="365" spans="20:21" s="5" customFormat="1">
      <c r="T365" s="8"/>
      <c r="U365" s="8"/>
    </row>
    <row r="366" spans="20:21" s="5" customFormat="1">
      <c r="T366" s="8"/>
      <c r="U366" s="8"/>
    </row>
    <row r="367" spans="20:21" s="5" customFormat="1">
      <c r="T367" s="8"/>
      <c r="U367" s="8"/>
    </row>
    <row r="368" spans="20:21" s="5" customFormat="1">
      <c r="T368" s="8"/>
      <c r="U368" s="8"/>
    </row>
    <row r="369" spans="20:21" s="5" customFormat="1">
      <c r="T369" s="8"/>
      <c r="U369" s="8"/>
    </row>
    <row r="370" spans="20:21" s="5" customFormat="1">
      <c r="T370" s="8"/>
      <c r="U370" s="8"/>
    </row>
    <row r="371" spans="20:21" s="5" customFormat="1">
      <c r="T371" s="8"/>
      <c r="U371" s="8"/>
    </row>
    <row r="372" spans="20:21" s="5" customFormat="1">
      <c r="T372" s="8"/>
      <c r="U372" s="8"/>
    </row>
    <row r="373" spans="20:21" s="5" customFormat="1">
      <c r="T373" s="8"/>
      <c r="U373" s="8"/>
    </row>
    <row r="374" spans="20:21" s="5" customFormat="1">
      <c r="T374" s="8"/>
      <c r="U374" s="8"/>
    </row>
    <row r="375" spans="20:21" s="5" customFormat="1">
      <c r="T375" s="8"/>
      <c r="U375" s="8"/>
    </row>
    <row r="376" spans="20:21" s="5" customFormat="1">
      <c r="T376" s="8"/>
      <c r="U376" s="8"/>
    </row>
    <row r="377" spans="20:21" s="5" customFormat="1">
      <c r="T377" s="8"/>
      <c r="U377" s="8"/>
    </row>
    <row r="378" spans="20:21" s="5" customFormat="1">
      <c r="T378" s="8"/>
      <c r="U378" s="8"/>
    </row>
    <row r="379" spans="20:21" s="5" customFormat="1">
      <c r="T379" s="8"/>
      <c r="U379" s="8"/>
    </row>
    <row r="380" spans="20:21" s="5" customFormat="1">
      <c r="T380" s="8"/>
      <c r="U380" s="8"/>
    </row>
    <row r="381" spans="20:21" s="5" customFormat="1">
      <c r="T381" s="8"/>
      <c r="U381" s="8"/>
    </row>
    <row r="382" spans="20:21" s="5" customFormat="1">
      <c r="T382" s="8"/>
      <c r="U382" s="8"/>
    </row>
    <row r="383" spans="20:21" s="5" customFormat="1">
      <c r="T383" s="8"/>
      <c r="U383" s="8"/>
    </row>
    <row r="384" spans="20:21" s="5" customFormat="1">
      <c r="T384" s="8"/>
      <c r="U384" s="8"/>
    </row>
    <row r="385" spans="20:21" s="5" customFormat="1">
      <c r="T385" s="8"/>
      <c r="U385" s="8"/>
    </row>
    <row r="386" spans="20:21" s="5" customFormat="1">
      <c r="T386" s="8"/>
      <c r="U386" s="8"/>
    </row>
    <row r="387" spans="20:21" s="5" customFormat="1">
      <c r="T387" s="8"/>
      <c r="U387" s="8"/>
    </row>
    <row r="388" spans="20:21" s="5" customFormat="1">
      <c r="T388" s="8"/>
      <c r="U388" s="8"/>
    </row>
    <row r="389" spans="20:21" s="5" customFormat="1">
      <c r="T389" s="8"/>
      <c r="U389" s="8"/>
    </row>
    <row r="390" spans="20:21" s="5" customFormat="1">
      <c r="T390" s="8"/>
      <c r="U390" s="8"/>
    </row>
    <row r="391" spans="20:21" s="5" customFormat="1">
      <c r="T391" s="8"/>
      <c r="U391" s="8"/>
    </row>
    <row r="392" spans="20:21" s="5" customFormat="1">
      <c r="T392" s="8"/>
      <c r="U392" s="8"/>
    </row>
    <row r="393" spans="20:21" s="5" customFormat="1">
      <c r="T393" s="8"/>
      <c r="U393" s="8"/>
    </row>
    <row r="394" spans="20:21" s="5" customFormat="1">
      <c r="T394" s="8"/>
      <c r="U394" s="8"/>
    </row>
    <row r="395" spans="20:21" s="5" customFormat="1">
      <c r="T395" s="8"/>
      <c r="U395" s="8"/>
    </row>
    <row r="396" spans="20:21" s="5" customFormat="1">
      <c r="T396" s="8"/>
      <c r="U396" s="8"/>
    </row>
    <row r="397" spans="20:21" s="5" customFormat="1">
      <c r="T397" s="8"/>
      <c r="U397" s="8"/>
    </row>
    <row r="398" spans="20:21" s="5" customFormat="1">
      <c r="T398" s="8"/>
      <c r="U398" s="8"/>
    </row>
    <row r="399" spans="20:21" s="5" customFormat="1">
      <c r="T399" s="8"/>
      <c r="U399" s="8"/>
    </row>
    <row r="400" spans="20:21" s="5" customFormat="1">
      <c r="T400" s="8"/>
      <c r="U400" s="8"/>
    </row>
    <row r="401" spans="20:21" s="5" customFormat="1">
      <c r="T401" s="8"/>
      <c r="U401" s="8"/>
    </row>
    <row r="402" spans="20:21" s="5" customFormat="1">
      <c r="T402" s="8"/>
      <c r="U402" s="8"/>
    </row>
    <row r="403" spans="20:21" s="5" customFormat="1">
      <c r="T403" s="8"/>
      <c r="U403" s="8"/>
    </row>
    <row r="404" spans="20:21" s="5" customFormat="1">
      <c r="T404" s="8"/>
      <c r="U404" s="8"/>
    </row>
    <row r="405" spans="20:21" s="5" customFormat="1">
      <c r="T405" s="8"/>
      <c r="U405" s="8"/>
    </row>
    <row r="406" spans="20:21" s="5" customFormat="1">
      <c r="T406" s="8"/>
      <c r="U406" s="8"/>
    </row>
    <row r="407" spans="20:21" s="5" customFormat="1">
      <c r="T407" s="8"/>
      <c r="U407" s="8"/>
    </row>
    <row r="408" spans="20:21" s="5" customFormat="1">
      <c r="T408" s="8"/>
      <c r="U408" s="8"/>
    </row>
    <row r="409" spans="20:21" s="5" customFormat="1">
      <c r="T409" s="8"/>
      <c r="U409" s="8"/>
    </row>
    <row r="410" spans="20:21" s="5" customFormat="1">
      <c r="T410" s="8"/>
      <c r="U410" s="8"/>
    </row>
    <row r="411" spans="20:21" s="5" customFormat="1">
      <c r="T411" s="8"/>
      <c r="U411" s="8"/>
    </row>
    <row r="412" spans="20:21" s="5" customFormat="1">
      <c r="T412" s="8"/>
      <c r="U412" s="8"/>
    </row>
    <row r="413" spans="20:21" s="5" customFormat="1">
      <c r="T413" s="8"/>
      <c r="U413" s="8"/>
    </row>
    <row r="414" spans="20:21" s="5" customFormat="1">
      <c r="T414" s="8"/>
      <c r="U414" s="8"/>
    </row>
    <row r="415" spans="20:21" s="5" customFormat="1">
      <c r="T415" s="8"/>
      <c r="U415" s="8"/>
    </row>
    <row r="416" spans="20:21" s="5" customFormat="1">
      <c r="T416" s="8"/>
      <c r="U416" s="8"/>
    </row>
    <row r="417" spans="20:21" s="5" customFormat="1">
      <c r="T417" s="8"/>
      <c r="U417" s="8"/>
    </row>
    <row r="418" spans="20:21" s="5" customFormat="1">
      <c r="T418" s="8"/>
      <c r="U418" s="8"/>
    </row>
    <row r="419" spans="20:21" s="5" customFormat="1">
      <c r="T419" s="8"/>
      <c r="U419" s="8"/>
    </row>
    <row r="420" spans="20:21" s="5" customFormat="1">
      <c r="T420" s="8"/>
      <c r="U420" s="8"/>
    </row>
    <row r="421" spans="20:21" s="5" customFormat="1">
      <c r="T421" s="8"/>
      <c r="U421" s="8"/>
    </row>
    <row r="422" spans="20:21" s="5" customFormat="1">
      <c r="T422" s="8"/>
      <c r="U422" s="8"/>
    </row>
    <row r="423" spans="20:21" s="5" customFormat="1">
      <c r="T423" s="8"/>
      <c r="U423" s="8"/>
    </row>
    <row r="424" spans="20:21" s="5" customFormat="1">
      <c r="T424" s="8"/>
      <c r="U424" s="8"/>
    </row>
    <row r="425" spans="20:21" s="5" customFormat="1">
      <c r="T425" s="8"/>
      <c r="U425" s="8"/>
    </row>
    <row r="426" spans="20:21" s="5" customFormat="1">
      <c r="T426" s="8"/>
      <c r="U426" s="8"/>
    </row>
    <row r="427" spans="20:21" s="5" customFormat="1">
      <c r="T427" s="8"/>
      <c r="U427" s="8"/>
    </row>
    <row r="428" spans="20:21" s="5" customFormat="1">
      <c r="T428" s="8"/>
      <c r="U428" s="8"/>
    </row>
    <row r="429" spans="20:21" s="5" customFormat="1">
      <c r="T429" s="8"/>
      <c r="U429" s="8"/>
    </row>
    <row r="430" spans="20:21" s="5" customFormat="1">
      <c r="T430" s="8"/>
      <c r="U430" s="8"/>
    </row>
    <row r="431" spans="20:21" s="5" customFormat="1">
      <c r="T431" s="8"/>
      <c r="U431" s="8"/>
    </row>
    <row r="432" spans="20:21" s="5" customFormat="1">
      <c r="T432" s="8"/>
      <c r="U432" s="8"/>
    </row>
    <row r="433" spans="20:21" s="5" customFormat="1">
      <c r="T433" s="8"/>
      <c r="U433" s="8"/>
    </row>
    <row r="434" spans="20:21" s="5" customFormat="1">
      <c r="T434" s="8"/>
      <c r="U434" s="8"/>
    </row>
    <row r="435" spans="20:21" s="5" customFormat="1">
      <c r="T435" s="8"/>
      <c r="U435" s="8"/>
    </row>
    <row r="436" spans="20:21" s="5" customFormat="1">
      <c r="T436" s="8"/>
      <c r="U436" s="8"/>
    </row>
    <row r="437" spans="20:21" s="5" customFormat="1">
      <c r="T437" s="8"/>
      <c r="U437" s="8"/>
    </row>
    <row r="438" spans="20:21" s="5" customFormat="1">
      <c r="T438" s="8"/>
      <c r="U438" s="8"/>
    </row>
    <row r="439" spans="20:21" s="5" customFormat="1">
      <c r="T439" s="8"/>
      <c r="U439" s="8"/>
    </row>
    <row r="440" spans="20:21" s="5" customFormat="1">
      <c r="T440" s="8"/>
      <c r="U440" s="8"/>
    </row>
    <row r="441" spans="20:21" s="5" customFormat="1">
      <c r="T441" s="8"/>
      <c r="U441" s="8"/>
    </row>
    <row r="442" spans="20:21" s="5" customFormat="1">
      <c r="T442" s="8"/>
      <c r="U442" s="8"/>
    </row>
    <row r="443" spans="20:21" s="5" customFormat="1">
      <c r="T443" s="8"/>
      <c r="U443" s="8"/>
    </row>
    <row r="444" spans="20:21" s="5" customFormat="1">
      <c r="T444" s="8"/>
      <c r="U444" s="8"/>
    </row>
    <row r="445" spans="20:21" s="5" customFormat="1">
      <c r="T445" s="8"/>
      <c r="U445" s="8"/>
    </row>
    <row r="446" spans="20:21" s="5" customFormat="1">
      <c r="T446" s="8"/>
      <c r="U446" s="8"/>
    </row>
    <row r="447" spans="20:21" s="5" customFormat="1">
      <c r="T447" s="8"/>
      <c r="U447" s="8"/>
    </row>
    <row r="448" spans="20:21" s="5" customFormat="1">
      <c r="T448" s="8"/>
      <c r="U448" s="8"/>
    </row>
    <row r="449" spans="20:21" s="5" customFormat="1">
      <c r="T449" s="8"/>
      <c r="U449" s="8"/>
    </row>
    <row r="450" spans="20:21" s="5" customFormat="1">
      <c r="T450" s="8"/>
      <c r="U450" s="8"/>
    </row>
    <row r="451" spans="20:21" s="5" customFormat="1">
      <c r="T451" s="8"/>
      <c r="U451" s="8"/>
    </row>
    <row r="452" spans="20:21" s="5" customFormat="1">
      <c r="T452" s="8"/>
      <c r="U452" s="8"/>
    </row>
    <row r="453" spans="20:21" s="5" customFormat="1">
      <c r="T453" s="8"/>
      <c r="U453" s="8"/>
    </row>
    <row r="454" spans="20:21" s="5" customFormat="1">
      <c r="T454" s="8"/>
      <c r="U454" s="8"/>
    </row>
    <row r="455" spans="20:21" s="5" customFormat="1">
      <c r="T455" s="8"/>
      <c r="U455" s="8"/>
    </row>
    <row r="456" spans="20:21" s="5" customFormat="1">
      <c r="T456" s="8"/>
      <c r="U456" s="8"/>
    </row>
    <row r="457" spans="20:21" s="5" customFormat="1">
      <c r="T457" s="8"/>
      <c r="U457" s="8"/>
    </row>
    <row r="458" spans="20:21" s="5" customFormat="1">
      <c r="T458" s="8"/>
      <c r="U458" s="8"/>
    </row>
    <row r="459" spans="20:21" s="5" customFormat="1">
      <c r="T459" s="8"/>
      <c r="U459" s="8"/>
    </row>
    <row r="460" spans="20:21" s="5" customFormat="1">
      <c r="T460" s="8"/>
      <c r="U460" s="8"/>
    </row>
    <row r="461" spans="20:21" s="5" customFormat="1">
      <c r="T461" s="8"/>
      <c r="U461" s="8"/>
    </row>
    <row r="462" spans="20:21" s="5" customFormat="1">
      <c r="T462" s="8"/>
      <c r="U462" s="8"/>
    </row>
    <row r="463" spans="20:21" s="5" customFormat="1">
      <c r="T463" s="8"/>
      <c r="U463" s="8"/>
    </row>
    <row r="464" spans="20:21" s="5" customFormat="1">
      <c r="T464" s="8"/>
      <c r="U464" s="8"/>
    </row>
    <row r="465" spans="20:21" s="5" customFormat="1">
      <c r="T465" s="8"/>
      <c r="U465" s="8"/>
    </row>
    <row r="466" spans="20:21" s="5" customFormat="1">
      <c r="T466" s="8"/>
      <c r="U466" s="8"/>
    </row>
    <row r="467" spans="20:21" s="5" customFormat="1">
      <c r="T467" s="8"/>
      <c r="U467" s="8"/>
    </row>
    <row r="468" spans="20:21" s="5" customFormat="1">
      <c r="T468" s="8"/>
      <c r="U468" s="8"/>
    </row>
    <row r="469" spans="20:21" s="5" customFormat="1">
      <c r="T469" s="8"/>
      <c r="U469" s="8"/>
    </row>
    <row r="470" spans="20:21" s="5" customFormat="1">
      <c r="T470" s="8"/>
      <c r="U470" s="8"/>
    </row>
    <row r="471" spans="20:21" s="5" customFormat="1">
      <c r="T471" s="8"/>
      <c r="U471" s="8"/>
    </row>
    <row r="472" spans="20:21" s="5" customFormat="1">
      <c r="T472" s="8"/>
      <c r="U472" s="8"/>
    </row>
    <row r="473" spans="20:21" s="5" customFormat="1">
      <c r="T473" s="8"/>
      <c r="U473" s="8"/>
    </row>
    <row r="474" spans="20:21" s="5" customFormat="1">
      <c r="T474" s="8"/>
      <c r="U474" s="8"/>
    </row>
    <row r="475" spans="20:21" s="5" customFormat="1">
      <c r="T475" s="8"/>
      <c r="U475" s="8"/>
    </row>
    <row r="476" spans="20:21" s="5" customFormat="1">
      <c r="T476" s="8"/>
      <c r="U476" s="8"/>
    </row>
    <row r="477" spans="20:21" s="5" customFormat="1">
      <c r="T477" s="8"/>
      <c r="U477" s="8"/>
    </row>
    <row r="478" spans="20:21" s="5" customFormat="1">
      <c r="T478" s="8"/>
      <c r="U478" s="8"/>
    </row>
    <row r="479" spans="20:21" s="5" customFormat="1">
      <c r="T479" s="8"/>
      <c r="U479" s="8"/>
    </row>
    <row r="480" spans="20:21" s="5" customFormat="1">
      <c r="T480" s="8"/>
      <c r="U480" s="8"/>
    </row>
    <row r="481" spans="20:21" s="5" customFormat="1">
      <c r="T481" s="8"/>
      <c r="U481" s="8"/>
    </row>
    <row r="482" spans="20:21" s="5" customFormat="1">
      <c r="T482" s="8"/>
      <c r="U482" s="8"/>
    </row>
    <row r="483" spans="20:21" s="5" customFormat="1">
      <c r="T483" s="8"/>
      <c r="U483" s="8"/>
    </row>
    <row r="484" spans="20:21" s="5" customFormat="1">
      <c r="T484" s="8"/>
      <c r="U484" s="8"/>
    </row>
    <row r="485" spans="20:21" s="5" customFormat="1">
      <c r="T485" s="8"/>
      <c r="U485" s="8"/>
    </row>
    <row r="486" spans="20:21" s="5" customFormat="1">
      <c r="T486" s="8"/>
      <c r="U486" s="8"/>
    </row>
    <row r="487" spans="20:21" s="5" customFormat="1">
      <c r="T487" s="8"/>
      <c r="U487" s="8"/>
    </row>
    <row r="488" spans="20:21" s="5" customFormat="1">
      <c r="T488" s="8"/>
      <c r="U488" s="8"/>
    </row>
    <row r="489" spans="20:21" s="5" customFormat="1">
      <c r="T489" s="8"/>
      <c r="U489" s="8"/>
    </row>
    <row r="490" spans="20:21" s="5" customFormat="1">
      <c r="T490" s="8"/>
      <c r="U490" s="8"/>
    </row>
    <row r="491" spans="20:21" s="5" customFormat="1">
      <c r="T491" s="8"/>
      <c r="U491" s="8"/>
    </row>
    <row r="492" spans="20:21" s="5" customFormat="1">
      <c r="T492" s="8"/>
      <c r="U492" s="8"/>
    </row>
    <row r="493" spans="20:21" s="5" customFormat="1">
      <c r="T493" s="8"/>
      <c r="U493" s="8"/>
    </row>
    <row r="494" spans="20:21" s="5" customFormat="1">
      <c r="T494" s="8"/>
      <c r="U494" s="8"/>
    </row>
    <row r="495" spans="20:21" s="5" customFormat="1">
      <c r="T495" s="8"/>
      <c r="U495" s="8"/>
    </row>
    <row r="496" spans="20:21" s="5" customFormat="1">
      <c r="T496" s="8"/>
      <c r="U496" s="8"/>
    </row>
    <row r="497" spans="20:21" s="5" customFormat="1">
      <c r="T497" s="8"/>
      <c r="U497" s="8"/>
    </row>
    <row r="498" spans="20:21" s="5" customFormat="1">
      <c r="T498" s="8"/>
      <c r="U498" s="8"/>
    </row>
    <row r="499" spans="20:21" s="5" customFormat="1">
      <c r="T499" s="8"/>
      <c r="U499" s="8"/>
    </row>
    <row r="500" spans="20:21" s="5" customFormat="1">
      <c r="T500" s="8"/>
      <c r="U500" s="8"/>
    </row>
    <row r="501" spans="20:21" s="5" customFormat="1">
      <c r="T501" s="8"/>
      <c r="U501" s="8"/>
    </row>
    <row r="502" spans="20:21" s="5" customFormat="1">
      <c r="T502" s="8"/>
      <c r="U502" s="8"/>
    </row>
    <row r="503" spans="20:21" s="5" customFormat="1">
      <c r="T503" s="8"/>
      <c r="U503" s="8"/>
    </row>
    <row r="504" spans="20:21" s="5" customFormat="1">
      <c r="T504" s="8"/>
      <c r="U504" s="8"/>
    </row>
    <row r="505" spans="20:21" s="5" customFormat="1">
      <c r="T505" s="8"/>
      <c r="U505" s="8"/>
    </row>
    <row r="506" spans="20:21" s="5" customFormat="1">
      <c r="T506" s="8"/>
      <c r="U506" s="8"/>
    </row>
    <row r="507" spans="20:21" s="5" customFormat="1">
      <c r="T507" s="8"/>
      <c r="U507" s="8"/>
    </row>
    <row r="508" spans="20:21" s="5" customFormat="1">
      <c r="T508" s="8"/>
      <c r="U508" s="8"/>
    </row>
    <row r="509" spans="20:21" s="5" customFormat="1">
      <c r="T509" s="8"/>
      <c r="U509" s="8"/>
    </row>
    <row r="510" spans="20:21" s="5" customFormat="1">
      <c r="T510" s="8"/>
      <c r="U510" s="8"/>
    </row>
    <row r="511" spans="20:21" s="5" customFormat="1">
      <c r="T511" s="8"/>
      <c r="U511" s="8"/>
    </row>
    <row r="512" spans="20:21" s="5" customFormat="1">
      <c r="T512" s="8"/>
      <c r="U512" s="8"/>
    </row>
    <row r="513" spans="20:21" s="5" customFormat="1">
      <c r="T513" s="8"/>
      <c r="U513" s="8"/>
    </row>
    <row r="514" spans="20:21" s="5" customFormat="1">
      <c r="T514" s="8"/>
      <c r="U514" s="8"/>
    </row>
    <row r="515" spans="20:21" s="5" customFormat="1">
      <c r="T515" s="8"/>
      <c r="U515" s="8"/>
    </row>
    <row r="516" spans="20:21" s="5" customFormat="1">
      <c r="T516" s="8"/>
      <c r="U516" s="8"/>
    </row>
    <row r="517" spans="20:21" s="5" customFormat="1">
      <c r="T517" s="8"/>
      <c r="U517" s="8"/>
    </row>
    <row r="518" spans="20:21" s="5" customFormat="1">
      <c r="T518" s="8"/>
      <c r="U518" s="8"/>
    </row>
    <row r="519" spans="20:21" s="5" customFormat="1">
      <c r="T519" s="8"/>
      <c r="U519" s="8"/>
    </row>
    <row r="520" spans="20:21" s="5" customFormat="1">
      <c r="T520" s="8"/>
      <c r="U520" s="8"/>
    </row>
    <row r="521" spans="20:21" s="5" customFormat="1">
      <c r="T521" s="8"/>
      <c r="U521" s="8"/>
    </row>
    <row r="522" spans="20:21" s="5" customFormat="1">
      <c r="T522" s="8"/>
      <c r="U522" s="8"/>
    </row>
    <row r="523" spans="20:21" s="5" customFormat="1">
      <c r="T523" s="8"/>
      <c r="U523" s="8"/>
    </row>
    <row r="524" spans="20:21" s="5" customFormat="1">
      <c r="T524" s="8"/>
      <c r="U524" s="8"/>
    </row>
    <row r="525" spans="20:21" s="5" customFormat="1">
      <c r="T525" s="8"/>
      <c r="U525" s="8"/>
    </row>
    <row r="526" spans="20:21" s="5" customFormat="1">
      <c r="T526" s="8"/>
      <c r="U526" s="8"/>
    </row>
    <row r="527" spans="20:21" s="5" customFormat="1">
      <c r="T527" s="8"/>
      <c r="U527" s="8"/>
    </row>
    <row r="528" spans="20:21" s="5" customFormat="1">
      <c r="T528" s="8"/>
      <c r="U528" s="8"/>
    </row>
    <row r="529" spans="20:21" s="5" customFormat="1">
      <c r="T529" s="8"/>
      <c r="U529" s="8"/>
    </row>
    <row r="530" spans="20:21" s="5" customFormat="1">
      <c r="T530" s="8"/>
      <c r="U530" s="8"/>
    </row>
    <row r="531" spans="20:21" s="5" customFormat="1">
      <c r="T531" s="8"/>
      <c r="U531" s="8"/>
    </row>
    <row r="532" spans="20:21" s="5" customFormat="1">
      <c r="T532" s="8"/>
      <c r="U532" s="8"/>
    </row>
    <row r="533" spans="20:21" s="5" customFormat="1">
      <c r="T533" s="8"/>
      <c r="U533" s="8"/>
    </row>
    <row r="534" spans="20:21" s="5" customFormat="1">
      <c r="T534" s="8"/>
      <c r="U534" s="8"/>
    </row>
    <row r="535" spans="20:21" s="5" customFormat="1">
      <c r="T535" s="8"/>
      <c r="U535" s="8"/>
    </row>
    <row r="536" spans="20:21" s="5" customFormat="1">
      <c r="T536" s="8"/>
      <c r="U536" s="8"/>
    </row>
    <row r="537" spans="20:21" s="5" customFormat="1">
      <c r="T537" s="8"/>
      <c r="U537" s="8"/>
    </row>
    <row r="538" spans="20:21" s="5" customFormat="1">
      <c r="T538" s="8"/>
      <c r="U538" s="8"/>
    </row>
    <row r="539" spans="20:21" s="5" customFormat="1">
      <c r="T539" s="8"/>
      <c r="U539" s="8"/>
    </row>
    <row r="540" spans="20:21" s="5" customFormat="1">
      <c r="T540" s="8"/>
      <c r="U540" s="8"/>
    </row>
    <row r="541" spans="20:21" s="5" customFormat="1">
      <c r="T541" s="8"/>
      <c r="U541" s="8"/>
    </row>
    <row r="542" spans="20:21" s="5" customFormat="1">
      <c r="T542" s="8"/>
      <c r="U542" s="8"/>
    </row>
    <row r="543" spans="20:21" s="5" customFormat="1">
      <c r="T543" s="8"/>
      <c r="U543" s="8"/>
    </row>
    <row r="544" spans="20:21" s="5" customFormat="1">
      <c r="T544" s="8"/>
      <c r="U544" s="8"/>
    </row>
    <row r="545" spans="20:21" s="5" customFormat="1">
      <c r="T545" s="8"/>
      <c r="U545" s="8"/>
    </row>
    <row r="546" spans="20:21" s="5" customFormat="1">
      <c r="T546" s="8"/>
      <c r="U546" s="8"/>
    </row>
    <row r="547" spans="20:21" s="5" customFormat="1">
      <c r="T547" s="8"/>
      <c r="U547" s="8"/>
    </row>
    <row r="548" spans="20:21" s="5" customFormat="1">
      <c r="T548" s="8"/>
      <c r="U548" s="8"/>
    </row>
    <row r="549" spans="20:21" s="5" customFormat="1">
      <c r="T549" s="8"/>
      <c r="U549" s="8"/>
    </row>
    <row r="550" spans="20:21" s="5" customFormat="1">
      <c r="T550" s="8"/>
      <c r="U550" s="8"/>
    </row>
    <row r="551" spans="20:21" s="5" customFormat="1">
      <c r="T551" s="8"/>
      <c r="U551" s="8"/>
    </row>
    <row r="552" spans="20:21" s="5" customFormat="1">
      <c r="T552" s="8"/>
      <c r="U552" s="8"/>
    </row>
    <row r="553" spans="20:21" s="5" customFormat="1">
      <c r="T553" s="8"/>
      <c r="U553" s="8"/>
    </row>
    <row r="554" spans="20:21" s="5" customFormat="1">
      <c r="T554" s="8"/>
      <c r="U554" s="8"/>
    </row>
    <row r="555" spans="20:21" s="5" customFormat="1">
      <c r="T555" s="8"/>
      <c r="U555" s="8"/>
    </row>
    <row r="556" spans="20:21" s="5" customFormat="1">
      <c r="T556" s="8"/>
      <c r="U556" s="8"/>
    </row>
    <row r="557" spans="20:21" s="5" customFormat="1">
      <c r="T557" s="8"/>
      <c r="U557" s="8"/>
    </row>
    <row r="558" spans="20:21" s="5" customFormat="1">
      <c r="T558" s="8"/>
      <c r="U558" s="8"/>
    </row>
    <row r="559" spans="20:21" s="5" customFormat="1">
      <c r="T559" s="8"/>
      <c r="U559" s="8"/>
    </row>
    <row r="560" spans="20:21" s="5" customFormat="1">
      <c r="T560" s="8"/>
      <c r="U560" s="8"/>
    </row>
    <row r="561" spans="20:21" s="5" customFormat="1">
      <c r="T561" s="8"/>
      <c r="U561" s="8"/>
    </row>
    <row r="562" spans="20:21" s="5" customFormat="1">
      <c r="T562" s="8"/>
      <c r="U562" s="8"/>
    </row>
    <row r="563" spans="20:21" s="5" customFormat="1">
      <c r="T563" s="8"/>
      <c r="U563" s="8"/>
    </row>
    <row r="564" spans="20:21" s="5" customFormat="1">
      <c r="T564" s="8"/>
      <c r="U564" s="8"/>
    </row>
    <row r="565" spans="20:21" s="5" customFormat="1">
      <c r="T565" s="8"/>
      <c r="U565" s="8"/>
    </row>
    <row r="566" spans="20:21" s="5" customFormat="1">
      <c r="T566" s="8"/>
      <c r="U566" s="8"/>
    </row>
    <row r="567" spans="20:21" s="5" customFormat="1">
      <c r="T567" s="8"/>
      <c r="U567" s="8"/>
    </row>
    <row r="568" spans="20:21" s="5" customFormat="1">
      <c r="T568" s="8"/>
      <c r="U568" s="8"/>
    </row>
    <row r="569" spans="20:21" s="5" customFormat="1">
      <c r="T569" s="8"/>
      <c r="U569" s="8"/>
    </row>
    <row r="570" spans="20:21" s="5" customFormat="1">
      <c r="T570" s="8"/>
      <c r="U570" s="8"/>
    </row>
    <row r="571" spans="20:21" s="5" customFormat="1">
      <c r="T571" s="8"/>
      <c r="U571" s="8"/>
    </row>
    <row r="572" spans="20:21" s="5" customFormat="1">
      <c r="T572" s="8"/>
      <c r="U572" s="8"/>
    </row>
    <row r="573" spans="20:21" s="5" customFormat="1">
      <c r="T573" s="8"/>
      <c r="U573" s="8"/>
    </row>
    <row r="574" spans="20:21" s="5" customFormat="1">
      <c r="T574" s="8"/>
      <c r="U574" s="8"/>
    </row>
    <row r="575" spans="20:21" s="5" customFormat="1">
      <c r="T575" s="8"/>
      <c r="U575" s="8"/>
    </row>
    <row r="576" spans="20:21" s="5" customFormat="1">
      <c r="T576" s="8"/>
      <c r="U576" s="8"/>
    </row>
    <row r="577" spans="10:21" s="5" customFormat="1">
      <c r="T577" s="8"/>
      <c r="U577" s="8"/>
    </row>
    <row r="578" spans="10:21" s="5" customFormat="1">
      <c r="T578" s="8"/>
      <c r="U578" s="8"/>
    </row>
    <row r="579" spans="10:21" s="5" customFormat="1">
      <c r="T579" s="8"/>
      <c r="U579" s="8"/>
    </row>
    <row r="580" spans="10:21" s="5" customFormat="1">
      <c r="T580" s="8"/>
      <c r="U580" s="8"/>
    </row>
    <row r="581" spans="10:21" s="5" customFormat="1">
      <c r="T581" s="8"/>
      <c r="U581" s="8"/>
    </row>
    <row r="582" spans="10:21" s="5" customFormat="1">
      <c r="T582" s="8"/>
      <c r="U582" s="8"/>
    </row>
    <row r="583" spans="10:21" s="5" customFormat="1">
      <c r="T583" s="8"/>
      <c r="U583" s="8"/>
    </row>
    <row r="584" spans="10:21" s="5" customFormat="1">
      <c r="T584" s="8"/>
      <c r="U584" s="8"/>
    </row>
    <row r="585" spans="10:21" s="5" customFormat="1">
      <c r="T585" s="8"/>
      <c r="U585" s="8"/>
    </row>
    <row r="586" spans="10:21" s="5" customFormat="1">
      <c r="T586" s="8"/>
      <c r="U586" s="8"/>
    </row>
    <row r="587" spans="10:21" s="5" customFormat="1">
      <c r="T587" s="8"/>
      <c r="U587" s="8"/>
    </row>
    <row r="588" spans="10:21" s="5" customFormat="1">
      <c r="T588" s="8"/>
      <c r="U588" s="8"/>
    </row>
    <row r="589" spans="10:21" s="5" customFormat="1"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</row>
    <row r="590" spans="10:21" s="5" customFormat="1"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</row>
    <row r="591" spans="10:21" s="5" customFormat="1"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</row>
    <row r="592" spans="10:21" s="5" customFormat="1"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</row>
    <row r="593" spans="10:21" s="5" customFormat="1"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</row>
    <row r="594" spans="10:21" s="5" customFormat="1"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</row>
    <row r="595" spans="10:21" s="5" customFormat="1"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</row>
    <row r="596" spans="10:21" s="5" customFormat="1"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</row>
    <row r="597" spans="10:21" s="5" customFormat="1"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</row>
    <row r="598" spans="10:21" s="5" customFormat="1"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</row>
    <row r="599" spans="10:21" s="5" customFormat="1"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</row>
    <row r="600" spans="10:21" s="5" customFormat="1"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</row>
    <row r="601" spans="10:21" s="5" customFormat="1"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</row>
    <row r="602" spans="10:21" s="5" customFormat="1"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</row>
    <row r="603" spans="10:21" s="5" customFormat="1"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</row>
    <row r="604" spans="10:21" s="5" customFormat="1"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</row>
    <row r="605" spans="10:21" s="5" customFormat="1"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</row>
    <row r="606" spans="10:21" s="5" customFormat="1"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</row>
    <row r="607" spans="10:21" s="5" customFormat="1"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</row>
    <row r="608" spans="10:21" s="5" customFormat="1"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</row>
    <row r="609" spans="10:21" s="5" customFormat="1"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</row>
    <row r="610" spans="10:21" s="5" customFormat="1"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</row>
    <row r="611" spans="10:21" s="5" customFormat="1"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</row>
    <row r="612" spans="10:21" s="5" customFormat="1"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</row>
    <row r="613" spans="10:21" s="5" customFormat="1"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</row>
    <row r="614" spans="10:21" s="5" customFormat="1"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</row>
    <row r="615" spans="10:21" s="5" customFormat="1"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</row>
    <row r="616" spans="10:21" s="5" customFormat="1"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</row>
    <row r="617" spans="10:21" s="5" customFormat="1"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</row>
    <row r="618" spans="10:21" s="5" customFormat="1"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</row>
    <row r="619" spans="10:21" s="5" customFormat="1"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</row>
    <row r="620" spans="10:21" s="5" customFormat="1"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</row>
    <row r="621" spans="10:21" s="5" customFormat="1"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</row>
    <row r="622" spans="10:21" s="5" customFormat="1"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</row>
    <row r="623" spans="10:21" s="5" customFormat="1"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</row>
    <row r="624" spans="10:21" s="5" customFormat="1"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</row>
    <row r="625" spans="10:21" s="5" customFormat="1"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</row>
    <row r="626" spans="10:21" s="5" customFormat="1"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</row>
    <row r="627" spans="10:21" s="5" customFormat="1"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</row>
    <row r="628" spans="10:21" s="5" customFormat="1"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</row>
    <row r="629" spans="10:21" s="5" customFormat="1"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</row>
    <row r="630" spans="10:21" s="5" customFormat="1"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</row>
    <row r="631" spans="10:21" s="5" customFormat="1"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</row>
    <row r="632" spans="10:21" s="5" customFormat="1"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</row>
    <row r="633" spans="10:21" s="5" customFormat="1"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</row>
    <row r="634" spans="10:21" s="5" customFormat="1"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</row>
    <row r="635" spans="10:21" s="5" customFormat="1"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</row>
    <row r="636" spans="10:21" s="5" customFormat="1"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</row>
    <row r="637" spans="10:21" s="5" customFormat="1"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</row>
    <row r="638" spans="10:21" s="5" customFormat="1"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</row>
    <row r="639" spans="10:21" s="5" customFormat="1"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</row>
    <row r="640" spans="10:21" s="5" customFormat="1"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</row>
    <row r="641" spans="10:21" s="5" customFormat="1"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</row>
    <row r="642" spans="10:21" s="5" customFormat="1"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</row>
    <row r="643" spans="10:21" s="5" customFormat="1"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</row>
    <row r="644" spans="10:21" s="5" customFormat="1"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</row>
    <row r="645" spans="10:21" s="5" customFormat="1"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</row>
    <row r="646" spans="10:21" s="5" customFormat="1"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</row>
    <row r="647" spans="10:21" s="5" customFormat="1"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</row>
    <row r="648" spans="10:21" s="5" customFormat="1"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</row>
    <row r="649" spans="10:21" s="5" customFormat="1"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</row>
    <row r="650" spans="10:21" s="5" customFormat="1"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</row>
    <row r="651" spans="10:21" s="5" customFormat="1"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</row>
    <row r="652" spans="10:21" s="5" customFormat="1"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</row>
    <row r="653" spans="10:21" s="5" customFormat="1"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</row>
    <row r="654" spans="10:21" s="5" customFormat="1"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</row>
    <row r="655" spans="10:21" s="5" customFormat="1"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</row>
    <row r="656" spans="10:21" s="5" customFormat="1"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</row>
    <row r="657" spans="10:21" s="5" customFormat="1"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</row>
    <row r="658" spans="10:21" s="5" customFormat="1"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</row>
    <row r="659" spans="10:21" s="5" customFormat="1"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</row>
    <row r="660" spans="10:21" s="5" customFormat="1"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</row>
    <row r="661" spans="10:21" s="5" customFormat="1"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</row>
    <row r="662" spans="10:21" s="5" customFormat="1"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</row>
    <row r="663" spans="10:21" s="5" customFormat="1"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</row>
    <row r="664" spans="10:21" s="5" customFormat="1"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</row>
    <row r="665" spans="10:21" s="5" customFormat="1"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</row>
    <row r="666" spans="10:21" s="5" customFormat="1"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</row>
    <row r="667" spans="10:21" s="5" customFormat="1"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</row>
    <row r="668" spans="10:21" s="5" customFormat="1"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</row>
    <row r="669" spans="10:21" s="5" customFormat="1"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</row>
    <row r="670" spans="10:21" s="5" customFormat="1"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</row>
    <row r="671" spans="10:21" s="5" customFormat="1"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</row>
    <row r="672" spans="10:21" s="5" customFormat="1"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</row>
    <row r="673" spans="10:21" s="5" customFormat="1"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</row>
    <row r="674" spans="10:21" s="5" customFormat="1"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</row>
    <row r="675" spans="10:21" s="5" customFormat="1"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</row>
    <row r="676" spans="10:21" s="5" customFormat="1"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</row>
    <row r="677" spans="10:21" s="5" customFormat="1"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</row>
    <row r="678" spans="10:21" s="5" customFormat="1"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</row>
    <row r="679" spans="10:21" s="5" customFormat="1"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</row>
    <row r="680" spans="10:21" s="5" customFormat="1"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</row>
    <row r="681" spans="10:21" s="5" customFormat="1"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</row>
    <row r="682" spans="10:21" s="5" customFormat="1"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</row>
    <row r="683" spans="10:21" s="5" customFormat="1"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</row>
    <row r="684" spans="10:21" s="5" customFormat="1"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</row>
    <row r="685" spans="10:21" s="5" customFormat="1"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</row>
    <row r="686" spans="10:21" s="5" customFormat="1"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</row>
    <row r="687" spans="10:21" s="5" customFormat="1"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</row>
    <row r="688" spans="10:21" s="5" customFormat="1"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</row>
    <row r="689" spans="10:21" s="5" customFormat="1"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</row>
    <row r="690" spans="10:21" s="5" customFormat="1"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</row>
    <row r="691" spans="10:21" s="5" customFormat="1"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</row>
    <row r="692" spans="10:21" s="5" customFormat="1"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</row>
    <row r="693" spans="10:21" s="5" customFormat="1"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</row>
    <row r="694" spans="10:21" s="5" customFormat="1"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</row>
    <row r="695" spans="10:21" s="5" customFormat="1"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</row>
    <row r="696" spans="10:21" s="5" customFormat="1"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</row>
    <row r="697" spans="10:21" s="5" customFormat="1"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</row>
    <row r="698" spans="10:21" s="5" customFormat="1"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</row>
    <row r="699" spans="10:21" s="5" customFormat="1"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</row>
    <row r="700" spans="10:21" s="5" customFormat="1"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</row>
    <row r="701" spans="10:21" s="5" customFormat="1"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</row>
    <row r="702" spans="10:21" s="5" customFormat="1"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</row>
    <row r="703" spans="10:21" s="5" customFormat="1"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</row>
    <row r="704" spans="10:21" s="5" customFormat="1"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</row>
    <row r="705" spans="10:21" s="5" customFormat="1"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</row>
    <row r="706" spans="10:21" s="5" customFormat="1"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</row>
    <row r="707" spans="10:21" s="5" customFormat="1"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</row>
    <row r="708" spans="10:21" s="5" customFormat="1"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</row>
    <row r="709" spans="10:21" s="5" customFormat="1"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</row>
    <row r="710" spans="10:21" s="5" customFormat="1"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</row>
    <row r="711" spans="10:21" s="5" customFormat="1"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</row>
    <row r="712" spans="10:21" s="5" customFormat="1"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</row>
    <row r="713" spans="10:21" s="5" customFormat="1"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</row>
    <row r="714" spans="10:21" s="5" customFormat="1"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</row>
  </sheetData>
  <mergeCells count="102">
    <mergeCell ref="B3:I3"/>
    <mergeCell ref="J3:AE3"/>
    <mergeCell ref="B1:I1"/>
    <mergeCell ref="J1:AE1"/>
    <mergeCell ref="B2:I2"/>
    <mergeCell ref="J2:AE2"/>
    <mergeCell ref="A55:A64"/>
    <mergeCell ref="AA14:AE14"/>
    <mergeCell ref="H16:H17"/>
    <mergeCell ref="P14:R14"/>
    <mergeCell ref="I13:I14"/>
    <mergeCell ref="D13:D15"/>
    <mergeCell ref="A5:A21"/>
    <mergeCell ref="F5:F7"/>
    <mergeCell ref="I8:I10"/>
    <mergeCell ref="A24:A37"/>
    <mergeCell ref="B11:B12"/>
    <mergeCell ref="G13:G14"/>
    <mergeCell ref="B8:B10"/>
    <mergeCell ref="B5:B7"/>
    <mergeCell ref="G5:G7"/>
    <mergeCell ref="A39:A52"/>
    <mergeCell ref="B13:B14"/>
    <mergeCell ref="F13:F14"/>
    <mergeCell ref="G11:G12"/>
    <mergeCell ref="D16:D17"/>
    <mergeCell ref="F16:F17"/>
    <mergeCell ref="F8:F10"/>
    <mergeCell ref="G8:G10"/>
    <mergeCell ref="F11:F12"/>
    <mergeCell ref="G16:G17"/>
    <mergeCell ref="D5:D8"/>
    <mergeCell ref="D9:D12"/>
    <mergeCell ref="I11:I12"/>
    <mergeCell ref="H18:H19"/>
    <mergeCell ref="V14:Z14"/>
    <mergeCell ref="I18:I19"/>
    <mergeCell ref="S14:U14"/>
    <mergeCell ref="J15:K15"/>
    <mergeCell ref="J16:K16"/>
    <mergeCell ref="H5:H14"/>
    <mergeCell ref="I5:I7"/>
    <mergeCell ref="J14:K14"/>
    <mergeCell ref="I16:I17"/>
    <mergeCell ref="D18:D19"/>
    <mergeCell ref="F18:F19"/>
    <mergeCell ref="G18:G19"/>
    <mergeCell ref="B69:I69"/>
    <mergeCell ref="J69:K69"/>
    <mergeCell ref="C65:E65"/>
    <mergeCell ref="F65:I65"/>
    <mergeCell ref="B66:E66"/>
    <mergeCell ref="F66:I66"/>
    <mergeCell ref="B67:E67"/>
    <mergeCell ref="F67:I67"/>
    <mergeCell ref="B68:E68"/>
    <mergeCell ref="F68:I68"/>
    <mergeCell ref="L76:L77"/>
    <mergeCell ref="F77:G77"/>
    <mergeCell ref="F74:G74"/>
    <mergeCell ref="J74:J75"/>
    <mergeCell ref="K74:K75"/>
    <mergeCell ref="L74:L75"/>
    <mergeCell ref="F75:G75"/>
    <mergeCell ref="F82:G82"/>
    <mergeCell ref="F76:G76"/>
    <mergeCell ref="J76:J77"/>
    <mergeCell ref="K76:K77"/>
    <mergeCell ref="F78:G78"/>
    <mergeCell ref="F79:G79"/>
    <mergeCell ref="F80:G80"/>
    <mergeCell ref="F81:G81"/>
    <mergeCell ref="F97:H97"/>
    <mergeCell ref="F98:H98"/>
    <mergeCell ref="C99:G99"/>
    <mergeCell ref="F88:G88"/>
    <mergeCell ref="F89:G89"/>
    <mergeCell ref="F90:G90"/>
    <mergeCell ref="F91:G91"/>
    <mergeCell ref="F92:H92"/>
    <mergeCell ref="F93:H93"/>
    <mergeCell ref="F94:H94"/>
    <mergeCell ref="F95:H95"/>
    <mergeCell ref="F96:H96"/>
    <mergeCell ref="F83:G83"/>
    <mergeCell ref="F84:G84"/>
    <mergeCell ref="F85:G85"/>
    <mergeCell ref="F86:G86"/>
    <mergeCell ref="F87:G87"/>
    <mergeCell ref="L69:L73"/>
    <mergeCell ref="F70:G70"/>
    <mergeCell ref="J70:J73"/>
    <mergeCell ref="K70:K73"/>
    <mergeCell ref="F71:G71"/>
    <mergeCell ref="F72:G72"/>
    <mergeCell ref="F73:G73"/>
    <mergeCell ref="AC19:AE19"/>
    <mergeCell ref="J20:K20"/>
    <mergeCell ref="J21:K21"/>
    <mergeCell ref="J19:K19"/>
    <mergeCell ref="L19:R19"/>
    <mergeCell ref="T19:Z19"/>
  </mergeCells>
  <phoneticPr fontId="2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Φύλλο5">
    <pageSetUpPr autoPageBreaks="0"/>
  </sheetPr>
  <dimension ref="A1:AM650"/>
  <sheetViews>
    <sheetView workbookViewId="0">
      <selection activeCell="B1" sqref="B1:I1"/>
    </sheetView>
  </sheetViews>
  <sheetFormatPr defaultRowHeight="12.75"/>
  <cols>
    <col min="1" max="2" width="3.7109375" customWidth="1"/>
    <col min="3" max="3" width="34.7109375" customWidth="1"/>
    <col min="4" max="9" width="10.7109375" customWidth="1"/>
    <col min="10" max="10" width="15.7109375" style="2" customWidth="1"/>
    <col min="11" max="13" width="15.5703125" style="2" customWidth="1"/>
    <col min="14" max="14" width="15.7109375" style="2" customWidth="1"/>
    <col min="15" max="18" width="15.5703125" style="2" customWidth="1"/>
    <col min="19" max="19" width="15.85546875" style="2" customWidth="1"/>
    <col min="20" max="21" width="15.5703125" style="2" customWidth="1"/>
    <col min="22" max="27" width="15.5703125" customWidth="1"/>
    <col min="28" max="28" width="16.7109375" customWidth="1"/>
    <col min="29" max="39" width="15.5703125" customWidth="1"/>
  </cols>
  <sheetData>
    <row r="1" spans="1:39" ht="28.5" customHeight="1">
      <c r="A1" s="31"/>
      <c r="B1" s="322"/>
      <c r="C1" s="323"/>
      <c r="D1" s="323"/>
      <c r="E1" s="323"/>
      <c r="F1" s="323"/>
      <c r="G1" s="323"/>
      <c r="H1" s="323"/>
      <c r="I1" s="323"/>
      <c r="J1" s="240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15"/>
      <c r="AG1" s="15"/>
      <c r="AH1" s="15"/>
      <c r="AI1" s="15"/>
    </row>
    <row r="2" spans="1:39" ht="24" customHeight="1" thickBot="1">
      <c r="A2" s="22"/>
      <c r="B2" s="348" t="s">
        <v>265</v>
      </c>
      <c r="C2" s="348"/>
      <c r="D2" s="348"/>
      <c r="E2" s="348"/>
      <c r="F2" s="348"/>
      <c r="G2" s="348"/>
      <c r="H2" s="348"/>
      <c r="I2" s="348"/>
      <c r="J2" s="347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15"/>
      <c r="AG2" s="15"/>
      <c r="AH2" s="15"/>
      <c r="AI2" s="15"/>
    </row>
    <row r="3" spans="1:39" s="9" customFormat="1" ht="24" customHeight="1" thickBot="1">
      <c r="A3" s="23"/>
      <c r="B3" s="253" t="s">
        <v>36</v>
      </c>
      <c r="C3" s="253"/>
      <c r="D3" s="253"/>
      <c r="E3" s="253"/>
      <c r="F3" s="253"/>
      <c r="G3" s="253"/>
      <c r="H3" s="253"/>
      <c r="I3" s="253"/>
      <c r="J3" s="318" t="s">
        <v>170</v>
      </c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20"/>
      <c r="AF3" s="15"/>
      <c r="AG3" s="15"/>
      <c r="AH3" s="15"/>
      <c r="AI3" s="15"/>
    </row>
    <row r="4" spans="1:39" s="14" customFormat="1" ht="12.75" customHeight="1">
      <c r="A4" s="24"/>
      <c r="B4" s="12"/>
      <c r="C4" s="12" t="s">
        <v>38</v>
      </c>
      <c r="D4" s="20" t="s">
        <v>121</v>
      </c>
      <c r="E4" s="12" t="s">
        <v>0</v>
      </c>
      <c r="F4" s="12" t="s">
        <v>1</v>
      </c>
      <c r="G4" s="12" t="s">
        <v>2</v>
      </c>
      <c r="H4" s="12" t="s">
        <v>10</v>
      </c>
      <c r="I4" s="12" t="s">
        <v>11</v>
      </c>
      <c r="J4" s="165" t="s">
        <v>24</v>
      </c>
      <c r="K4" s="116" t="s">
        <v>126</v>
      </c>
      <c r="L4" s="69" t="s">
        <v>127</v>
      </c>
      <c r="M4" s="70" t="s">
        <v>128</v>
      </c>
      <c r="N4" s="70" t="s">
        <v>130</v>
      </c>
      <c r="O4" s="70" t="s">
        <v>131</v>
      </c>
      <c r="P4" s="70" t="s">
        <v>133</v>
      </c>
      <c r="Q4" s="71" t="s">
        <v>129</v>
      </c>
      <c r="R4" s="80" t="s">
        <v>134</v>
      </c>
      <c r="S4" s="81" t="s">
        <v>140</v>
      </c>
      <c r="T4" s="81" t="s">
        <v>141</v>
      </c>
      <c r="U4" s="81" t="s">
        <v>142</v>
      </c>
      <c r="V4" s="81" t="s">
        <v>138</v>
      </c>
      <c r="W4" s="309" t="s">
        <v>132</v>
      </c>
      <c r="X4" s="310"/>
      <c r="Y4" s="311" t="s">
        <v>135</v>
      </c>
      <c r="Z4" s="312"/>
      <c r="AA4" s="312"/>
      <c r="AB4" s="312"/>
      <c r="AC4" s="313"/>
      <c r="AD4" s="313"/>
      <c r="AE4" s="314"/>
      <c r="AF4" s="68"/>
      <c r="AG4" s="11"/>
      <c r="AH4" s="11"/>
      <c r="AI4" s="11"/>
    </row>
    <row r="5" spans="1:39" s="5" customFormat="1" ht="12.75" customHeight="1">
      <c r="A5" s="304" t="s">
        <v>270</v>
      </c>
      <c r="B5" s="235">
        <f>IF(A23=1,1,0)</f>
        <v>1</v>
      </c>
      <c r="C5" s="82" t="s">
        <v>118</v>
      </c>
      <c r="D5" s="233">
        <f>'ΜΙΣΘΟΔΟΣΙΑ ΜΗΧΑΝΙΚΩΝ'!D9</f>
        <v>0</v>
      </c>
      <c r="E5" s="17">
        <f>IF(D5="ΣΤ",K19,IF(D5="Ε",IF(D11=0,L19,IF(D11=1,M19,IF(D11=2,N19))),IF(D5="Δ",IF(D11=0,O19,IF(D11=1,P19,IF(D11=2,Q19,IF(D11=3,R19)))),0)))*B5</f>
        <v>0</v>
      </c>
      <c r="F5" s="235">
        <v>12</v>
      </c>
      <c r="G5" s="234">
        <f>ROUND((E5+E6+E7+IF(E5+E6+E7&gt;0,IF(E15&gt;0,0,E15),0))*F5,2)</f>
        <v>0</v>
      </c>
      <c r="H5" s="234">
        <f>IF($D$28&lt;$I$38,22.82,7)</f>
        <v>22.82</v>
      </c>
      <c r="I5" s="234">
        <f>ROUND(G5*H5%,2)</f>
        <v>0</v>
      </c>
      <c r="J5" s="160" t="s">
        <v>109</v>
      </c>
      <c r="K5" s="117" t="s">
        <v>110</v>
      </c>
      <c r="L5" s="285" t="s">
        <v>111</v>
      </c>
      <c r="M5" s="286"/>
      <c r="N5" s="286"/>
      <c r="O5" s="286"/>
      <c r="P5" s="286"/>
      <c r="Q5" s="287"/>
      <c r="R5" s="301" t="s">
        <v>8</v>
      </c>
      <c r="S5" s="321"/>
      <c r="T5" s="321"/>
      <c r="U5" s="321"/>
      <c r="V5" s="321"/>
      <c r="W5" s="286"/>
      <c r="X5" s="287"/>
      <c r="Y5" s="305" t="s">
        <v>113</v>
      </c>
      <c r="Z5" s="306"/>
      <c r="AA5" s="306"/>
      <c r="AB5" s="306"/>
      <c r="AC5" s="307"/>
      <c r="AD5" s="307"/>
      <c r="AE5" s="308"/>
      <c r="AF5" s="83"/>
      <c r="AG5" s="84"/>
      <c r="AH5" s="84"/>
      <c r="AI5" s="84"/>
    </row>
    <row r="6" spans="1:39" ht="12.75" customHeight="1">
      <c r="A6" s="272"/>
      <c r="B6" s="235"/>
      <c r="C6" s="82" t="s">
        <v>117</v>
      </c>
      <c r="D6" s="235"/>
      <c r="E6" s="17">
        <f>IF(D5="Γ",IF(D11=0,S19,IF(D11=1,T19,IF(D11=2,U19,IF(D11=3,V19,IF(D11=4,W19))))),IF(D5="Β",IF(D11=0,X19,IF(D11=1,Y19,IF(D11=2,Z19,IF(D11=3,AA19,IF(D11=4,AB19,IF(D11=5,AC19)))))),0))*B5</f>
        <v>0</v>
      </c>
      <c r="F6" s="235"/>
      <c r="G6" s="234"/>
      <c r="H6" s="234"/>
      <c r="I6" s="234"/>
      <c r="J6" s="160" t="s">
        <v>100</v>
      </c>
      <c r="K6" s="117">
        <v>0</v>
      </c>
      <c r="L6" s="72">
        <v>0</v>
      </c>
      <c r="M6" s="73">
        <v>1</v>
      </c>
      <c r="N6" s="73">
        <v>2</v>
      </c>
      <c r="O6" s="73">
        <v>3</v>
      </c>
      <c r="P6" s="73">
        <v>4</v>
      </c>
      <c r="Q6" s="74">
        <v>5</v>
      </c>
      <c r="R6" s="75">
        <v>0</v>
      </c>
      <c r="S6" s="76">
        <v>1</v>
      </c>
      <c r="T6" s="76">
        <v>2</v>
      </c>
      <c r="U6" s="76">
        <v>3</v>
      </c>
      <c r="V6" s="76">
        <v>4</v>
      </c>
      <c r="W6" s="77">
        <v>5</v>
      </c>
      <c r="X6" s="74">
        <v>6</v>
      </c>
      <c r="Y6" s="78">
        <v>0</v>
      </c>
      <c r="Z6" s="77">
        <v>1</v>
      </c>
      <c r="AA6" s="77">
        <v>2</v>
      </c>
      <c r="AB6" s="77">
        <v>3</v>
      </c>
      <c r="AC6" s="77">
        <v>4</v>
      </c>
      <c r="AD6" s="77">
        <v>5</v>
      </c>
      <c r="AE6" s="74">
        <v>6</v>
      </c>
      <c r="AF6" s="83"/>
      <c r="AG6" s="84"/>
      <c r="AH6" s="84"/>
      <c r="AI6" s="84"/>
    </row>
    <row r="7" spans="1:39" ht="12.75" customHeight="1" thickBot="1">
      <c r="A7" s="272"/>
      <c r="B7" s="235"/>
      <c r="C7" s="82" t="s">
        <v>116</v>
      </c>
      <c r="D7" s="235"/>
      <c r="E7" s="17">
        <f>IF(D5="Β",IF(D11=6,AD19,IF(D11=7,AE19)),IF(D5="Α",IF(D11=0,AF19,IF(D11=1,AG19,IF(D11=2,AH19,IF(D11=3,AI19,IF(D11=4,AJ19,IF(D11=5,AK19)))))),0))*B5</f>
        <v>0</v>
      </c>
      <c r="F7" s="235"/>
      <c r="G7" s="235"/>
      <c r="H7" s="234"/>
      <c r="I7" s="235"/>
      <c r="J7" s="163" t="s">
        <v>101</v>
      </c>
      <c r="K7" s="118">
        <v>780</v>
      </c>
      <c r="L7" s="50">
        <f>ROUND(K7*1.1,0)</f>
        <v>858</v>
      </c>
      <c r="M7" s="46">
        <f>ROUND(L7*1.02,0)</f>
        <v>875</v>
      </c>
      <c r="N7" s="46">
        <f>ROUND(M7*1.02,0)</f>
        <v>893</v>
      </c>
      <c r="O7" s="46">
        <f>ROUND(N7*1.02,0)</f>
        <v>911</v>
      </c>
      <c r="P7" s="46">
        <f>ROUND(O7*1.02,0)</f>
        <v>929</v>
      </c>
      <c r="Q7" s="63">
        <f>ROUND(P7*1.02,0)</f>
        <v>948</v>
      </c>
      <c r="R7" s="54">
        <f>ROUND(L7*1.15,0)</f>
        <v>987</v>
      </c>
      <c r="S7" s="47">
        <f t="shared" ref="S7:X7" si="0">ROUND(R7*1.02,0)</f>
        <v>1007</v>
      </c>
      <c r="T7" s="47">
        <f t="shared" si="0"/>
        <v>1027</v>
      </c>
      <c r="U7" s="47">
        <f t="shared" si="0"/>
        <v>1048</v>
      </c>
      <c r="V7" s="47">
        <f t="shared" si="0"/>
        <v>1069</v>
      </c>
      <c r="W7" s="64">
        <f t="shared" si="0"/>
        <v>1090</v>
      </c>
      <c r="X7" s="63">
        <f t="shared" si="0"/>
        <v>1112</v>
      </c>
      <c r="Y7" s="66">
        <f>ROUND(R7*1.15,0)</f>
        <v>1135</v>
      </c>
      <c r="Z7" s="67">
        <f t="shared" ref="Z7:AE7" si="1">ROUND(Y7*1.02,0)</f>
        <v>1158</v>
      </c>
      <c r="AA7" s="67">
        <f t="shared" si="1"/>
        <v>1181</v>
      </c>
      <c r="AB7" s="67">
        <f t="shared" si="1"/>
        <v>1205</v>
      </c>
      <c r="AC7" s="67">
        <f t="shared" si="1"/>
        <v>1229</v>
      </c>
      <c r="AD7" s="67">
        <f t="shared" si="1"/>
        <v>1254</v>
      </c>
      <c r="AE7" s="67">
        <f t="shared" si="1"/>
        <v>1279</v>
      </c>
      <c r="AF7" s="83"/>
      <c r="AG7" s="84"/>
      <c r="AH7" s="84"/>
      <c r="AI7" s="84"/>
    </row>
    <row r="8" spans="1:39" ht="12.75" customHeight="1">
      <c r="A8" s="272"/>
      <c r="B8" s="235">
        <f>IF(A23=2,1,0)</f>
        <v>0</v>
      </c>
      <c r="C8" s="85" t="s">
        <v>118</v>
      </c>
      <c r="D8" s="235"/>
      <c r="E8" s="17">
        <f>IF(D5="ΣΤ",K15,IF(D5="Ε",IF(D11=0,L15,IF(D11=1,M15,IF(D11=2,N15))),IF(D5="Δ",IF(D11=0,O15,IF(D11=1,P15,IF(D11=2,Q15,IF(D11=3,R15)))),0)))*B8</f>
        <v>0</v>
      </c>
      <c r="F8" s="235">
        <v>12</v>
      </c>
      <c r="G8" s="234">
        <f>ROUND((E8+E9+E10+IF(E8+E9+E10&gt;0,IF(E15&gt;0,0,E15),0))*F8,2)</f>
        <v>0</v>
      </c>
      <c r="H8" s="234"/>
      <c r="I8" s="234">
        <f>ROUND(G8*H5%,2)</f>
        <v>0</v>
      </c>
      <c r="J8" s="161" t="s">
        <v>24</v>
      </c>
      <c r="K8" s="119" t="s">
        <v>126</v>
      </c>
      <c r="L8" s="51" t="s">
        <v>127</v>
      </c>
      <c r="M8" s="44" t="s">
        <v>128</v>
      </c>
      <c r="N8" s="44" t="s">
        <v>130</v>
      </c>
      <c r="O8" s="60" t="s">
        <v>129</v>
      </c>
      <c r="P8" s="52" t="s">
        <v>131</v>
      </c>
      <c r="Q8" s="45" t="s">
        <v>133</v>
      </c>
      <c r="R8" s="45" t="s">
        <v>134</v>
      </c>
      <c r="S8" s="299" t="s">
        <v>132</v>
      </c>
      <c r="T8" s="300"/>
      <c r="U8" s="86" t="s">
        <v>139</v>
      </c>
      <c r="V8" s="87" t="s">
        <v>141</v>
      </c>
      <c r="W8" s="87" t="s">
        <v>142</v>
      </c>
      <c r="X8" s="87" t="s">
        <v>138</v>
      </c>
      <c r="Y8" s="299" t="s">
        <v>164</v>
      </c>
      <c r="Z8" s="300"/>
      <c r="AA8" s="315" t="s">
        <v>165</v>
      </c>
      <c r="AB8" s="316"/>
      <c r="AC8" s="316"/>
      <c r="AD8" s="316"/>
      <c r="AE8" s="317"/>
      <c r="AF8" s="83"/>
      <c r="AG8" s="84"/>
      <c r="AH8" s="84"/>
      <c r="AI8" s="84"/>
    </row>
    <row r="9" spans="1:39" ht="12.75" customHeight="1">
      <c r="A9" s="272"/>
      <c r="B9" s="235"/>
      <c r="C9" s="82" t="s">
        <v>117</v>
      </c>
      <c r="D9" s="235"/>
      <c r="E9" s="17">
        <f>IF(D5="Γ",IF(D11=0,S15,IF(D11=1,T15,IF(D11=2,U15,IF(D11=3,V15,IF(D11=4,W15))))),IF(D5="Β",IF(D11=0,X15,IF(D11=1,Y15,IF(D11=2,Z15,IF(D11=3,AA15,IF(D11=4,AB15,IF(D11=5,AC15)))))),0))*B8</f>
        <v>0</v>
      </c>
      <c r="F9" s="235"/>
      <c r="G9" s="234"/>
      <c r="H9" s="234"/>
      <c r="I9" s="234"/>
      <c r="J9" s="160" t="s">
        <v>109</v>
      </c>
      <c r="K9" s="117" t="s">
        <v>110</v>
      </c>
      <c r="L9" s="285" t="s">
        <v>111</v>
      </c>
      <c r="M9" s="302"/>
      <c r="N9" s="302"/>
      <c r="O9" s="303"/>
      <c r="P9" s="301" t="s">
        <v>8</v>
      </c>
      <c r="Q9" s="302"/>
      <c r="R9" s="302"/>
      <c r="S9" s="302"/>
      <c r="T9" s="303"/>
      <c r="U9" s="305" t="s">
        <v>113</v>
      </c>
      <c r="V9" s="286"/>
      <c r="W9" s="286"/>
      <c r="X9" s="286"/>
      <c r="Y9" s="286"/>
      <c r="Z9" s="287"/>
      <c r="AA9" s="295" t="s">
        <v>112</v>
      </c>
      <c r="AB9" s="296"/>
      <c r="AC9" s="296"/>
      <c r="AD9" s="297"/>
      <c r="AE9" s="298"/>
      <c r="AF9" s="83"/>
      <c r="AG9" s="84"/>
      <c r="AH9" s="84"/>
      <c r="AI9" s="84"/>
    </row>
    <row r="10" spans="1:39" ht="12.75" customHeight="1">
      <c r="A10" s="272"/>
      <c r="B10" s="235"/>
      <c r="C10" s="82" t="s">
        <v>116</v>
      </c>
      <c r="D10" s="235"/>
      <c r="E10" s="17">
        <f>IF(D5="Β",IF(D11=6,AD15,IF(D11=7,AE15)),IF(D5="Α",IF(D11=0,AF15,IF(D11=1,AG15,IF(D11=2,AH15,IF(D11=3,AI15,IF(D11=4,AJ15,IF(D11=5,AK15)))))),0))*B8</f>
        <v>0</v>
      </c>
      <c r="F10" s="235"/>
      <c r="G10" s="235"/>
      <c r="H10" s="234"/>
      <c r="I10" s="235"/>
      <c r="J10" s="162" t="s">
        <v>100</v>
      </c>
      <c r="K10" s="120">
        <v>0</v>
      </c>
      <c r="L10" s="41">
        <v>0</v>
      </c>
      <c r="M10" s="40">
        <v>1</v>
      </c>
      <c r="N10" s="40">
        <v>2</v>
      </c>
      <c r="O10" s="61">
        <v>3</v>
      </c>
      <c r="P10" s="53">
        <v>0</v>
      </c>
      <c r="Q10" s="42">
        <v>1</v>
      </c>
      <c r="R10" s="42">
        <v>2</v>
      </c>
      <c r="S10" s="62">
        <v>3</v>
      </c>
      <c r="T10" s="61">
        <v>4</v>
      </c>
      <c r="U10" s="57">
        <v>0</v>
      </c>
      <c r="V10" s="43">
        <v>1</v>
      </c>
      <c r="W10" s="43">
        <v>2</v>
      </c>
      <c r="X10" s="43">
        <v>3</v>
      </c>
      <c r="Y10" s="62">
        <v>4</v>
      </c>
      <c r="Z10" s="61">
        <v>5</v>
      </c>
      <c r="AA10" s="88">
        <v>0</v>
      </c>
      <c r="AB10" s="62">
        <v>1</v>
      </c>
      <c r="AC10" s="62">
        <v>2</v>
      </c>
      <c r="AD10" s="62">
        <v>3</v>
      </c>
      <c r="AE10" s="61">
        <v>4</v>
      </c>
      <c r="AF10" s="83"/>
      <c r="AG10" s="84"/>
      <c r="AH10" s="84"/>
      <c r="AI10" s="84"/>
    </row>
    <row r="11" spans="1:39" ht="12.75" customHeight="1" thickBot="1">
      <c r="A11" s="272"/>
      <c r="B11" s="235">
        <f>IF(A23=3,1,0)</f>
        <v>0</v>
      </c>
      <c r="C11" s="85" t="s">
        <v>118</v>
      </c>
      <c r="D11" s="233">
        <f>'ΜΙΣΘΟΔΟΣΙΑ ΜΗΧΑΝΙΚΩΝ'!D13</f>
        <v>0</v>
      </c>
      <c r="E11" s="17">
        <f>IF(D5="ΣΤ",K11,IF(D5="Ε",IF(D11=0,L11,IF(D11=1,M11,IF(D11=2,N11,IF(D11=3,O11)))),IF(D5="Δ",IF(D11=0,P11,IF(D11=1,Q11,IF(D11=2,R11,IF(D11=3,S11,IF(D11=4,T11))))),0)))*B11</f>
        <v>0</v>
      </c>
      <c r="F11" s="235">
        <v>12</v>
      </c>
      <c r="G11" s="234">
        <f>ROUND((E11+E12+IF(E11+E12&gt;0,IF(E15&gt;0,0,E15),0))*F11,2)</f>
        <v>0</v>
      </c>
      <c r="H11" s="234"/>
      <c r="I11" s="234">
        <f>ROUND(G11*H5%,2)</f>
        <v>0</v>
      </c>
      <c r="J11" s="159" t="s">
        <v>102</v>
      </c>
      <c r="K11" s="121">
        <f>ROUND(K7*1.1,0)</f>
        <v>858</v>
      </c>
      <c r="L11" s="50">
        <f>ROUND(K11*1.1,0)</f>
        <v>944</v>
      </c>
      <c r="M11" s="46">
        <f>ROUND(L11*1.02,0)</f>
        <v>963</v>
      </c>
      <c r="N11" s="46">
        <f>ROUND(M11*1.02,0)</f>
        <v>982</v>
      </c>
      <c r="O11" s="63">
        <f>ROUND(N11*1.02,0)</f>
        <v>1002</v>
      </c>
      <c r="P11" s="54">
        <f>ROUND(L11*1.15,0)</f>
        <v>1086</v>
      </c>
      <c r="Q11" s="47">
        <f>ROUND(P11*1.02,0)</f>
        <v>1108</v>
      </c>
      <c r="R11" s="47">
        <f>ROUND(Q11*1.02,0)</f>
        <v>1130</v>
      </c>
      <c r="S11" s="64">
        <f>ROUND(R11*1.02,0)</f>
        <v>1153</v>
      </c>
      <c r="T11" s="63">
        <f>ROUND(S11*1.02,0)</f>
        <v>1176</v>
      </c>
      <c r="U11" s="58">
        <f>ROUND(P11*1.15,0)</f>
        <v>1249</v>
      </c>
      <c r="V11" s="48">
        <f>ROUND(U11*1.02,0)</f>
        <v>1274</v>
      </c>
      <c r="W11" s="48">
        <f>ROUND(V11*1.02,0)</f>
        <v>1299</v>
      </c>
      <c r="X11" s="48">
        <f>ROUND(W11*1.02,0)</f>
        <v>1325</v>
      </c>
      <c r="Y11" s="64">
        <f>ROUND(X11*1.02,0)</f>
        <v>1352</v>
      </c>
      <c r="Z11" s="63">
        <f>ROUND(Y11*1.02,0)</f>
        <v>1379</v>
      </c>
      <c r="AA11" s="153">
        <f>ROUND(U11*1.2,0)</f>
        <v>1499</v>
      </c>
      <c r="AB11" s="67">
        <f>ROUND(AA11*1.02,0)</f>
        <v>1529</v>
      </c>
      <c r="AC11" s="67">
        <f>ROUND(AB11*1.02,0)</f>
        <v>1560</v>
      </c>
      <c r="AD11" s="67">
        <f>ROUND(AC11*1.02,0)</f>
        <v>1591</v>
      </c>
      <c r="AE11" s="67">
        <f>ROUND(AD11*1.02,0)</f>
        <v>1623</v>
      </c>
      <c r="AF11" s="83"/>
      <c r="AG11" s="84"/>
      <c r="AH11" s="84"/>
      <c r="AI11" s="84"/>
    </row>
    <row r="12" spans="1:39" ht="12.75" customHeight="1">
      <c r="A12" s="272"/>
      <c r="B12" s="235"/>
      <c r="C12" s="85" t="s">
        <v>117</v>
      </c>
      <c r="D12" s="233"/>
      <c r="E12" s="17">
        <f>IF(D5="Γ",IF(D11=0,U11,IF(D11=1,V11,IF(D11=2,W11,IF(D11=3,X11,IF(D11=4,Y11,IF(D11=5,Z11)))))),IF(D5="Β",IF(D11=0,AA11,IF(D11=1,AB11,IF(D11=2,AC11,IF(D11=3,AD11,IF(D11=4,AE11))))),0))*B11</f>
        <v>0</v>
      </c>
      <c r="F12" s="235"/>
      <c r="G12" s="234"/>
      <c r="H12" s="234"/>
      <c r="I12" s="234"/>
      <c r="J12" s="164" t="s">
        <v>24</v>
      </c>
      <c r="K12" s="119" t="s">
        <v>126</v>
      </c>
      <c r="L12" s="51" t="s">
        <v>127</v>
      </c>
      <c r="M12" s="44" t="s">
        <v>128</v>
      </c>
      <c r="N12" s="60" t="s">
        <v>129</v>
      </c>
      <c r="O12" s="52" t="s">
        <v>130</v>
      </c>
      <c r="P12" s="45" t="s">
        <v>131</v>
      </c>
      <c r="Q12" s="299" t="s">
        <v>132</v>
      </c>
      <c r="R12" s="300"/>
      <c r="S12" s="86" t="s">
        <v>133</v>
      </c>
      <c r="T12" s="87" t="s">
        <v>134</v>
      </c>
      <c r="U12" s="299" t="s">
        <v>164</v>
      </c>
      <c r="V12" s="326"/>
      <c r="W12" s="327"/>
      <c r="X12" s="89" t="s">
        <v>136</v>
      </c>
      <c r="Y12" s="90" t="s">
        <v>137</v>
      </c>
      <c r="Z12" s="90" t="s">
        <v>138</v>
      </c>
      <c r="AA12" s="299" t="s">
        <v>165</v>
      </c>
      <c r="AB12" s="289"/>
      <c r="AC12" s="289"/>
      <c r="AD12" s="289"/>
      <c r="AE12" s="291"/>
      <c r="AF12" s="288" t="s">
        <v>164</v>
      </c>
      <c r="AG12" s="289"/>
      <c r="AH12" s="289"/>
      <c r="AI12" s="289"/>
      <c r="AJ12" s="289"/>
      <c r="AK12" s="290"/>
      <c r="AL12" s="290"/>
      <c r="AM12" s="291"/>
    </row>
    <row r="13" spans="1:39" ht="12.75" customHeight="1">
      <c r="A13" s="272"/>
      <c r="B13" s="235">
        <f>IF(A23=4,1,0)</f>
        <v>0</v>
      </c>
      <c r="C13" s="82" t="s">
        <v>119</v>
      </c>
      <c r="D13" s="233"/>
      <c r="E13" s="17">
        <f>IF(D5="ΣΤ",K7,IF(D5="Ε",IF(D11=0,L7,IF(D11=1,M7,IF(D11=2,N7,IF(D11=3,O7,IF(D11=4,P7,IF(D11=5,Q7)))))),IF(D5="Γ",IF(D11=6,AE7),0)))*B13</f>
        <v>0</v>
      </c>
      <c r="F13" s="235">
        <v>12</v>
      </c>
      <c r="G13" s="248">
        <f>ROUND((E13+E14+IF(E13+E14&gt;0,IF(E15&gt;0,0,E15),0))*F13,2)</f>
        <v>0</v>
      </c>
      <c r="H13" s="234"/>
      <c r="I13" s="234">
        <f>ROUND(G13*H5%,2)</f>
        <v>0</v>
      </c>
      <c r="J13" s="160" t="s">
        <v>109</v>
      </c>
      <c r="K13" s="117" t="s">
        <v>110</v>
      </c>
      <c r="L13" s="285" t="s">
        <v>111</v>
      </c>
      <c r="M13" s="302"/>
      <c r="N13" s="303"/>
      <c r="O13" s="301" t="s">
        <v>8</v>
      </c>
      <c r="P13" s="302"/>
      <c r="Q13" s="302"/>
      <c r="R13" s="303"/>
      <c r="S13" s="305" t="s">
        <v>113</v>
      </c>
      <c r="T13" s="286"/>
      <c r="U13" s="286"/>
      <c r="V13" s="286"/>
      <c r="W13" s="287"/>
      <c r="X13" s="328" t="s">
        <v>112</v>
      </c>
      <c r="Y13" s="329"/>
      <c r="Z13" s="329"/>
      <c r="AA13" s="329"/>
      <c r="AB13" s="329"/>
      <c r="AC13" s="286"/>
      <c r="AD13" s="286"/>
      <c r="AE13" s="294"/>
      <c r="AF13" s="292" t="s">
        <v>9</v>
      </c>
      <c r="AG13" s="293"/>
      <c r="AH13" s="293"/>
      <c r="AI13" s="293"/>
      <c r="AJ13" s="293"/>
      <c r="AK13" s="249"/>
      <c r="AL13" s="249"/>
      <c r="AM13" s="294"/>
    </row>
    <row r="14" spans="1:39" ht="12.75" customHeight="1">
      <c r="A14" s="272"/>
      <c r="B14" s="235"/>
      <c r="C14" s="82" t="s">
        <v>143</v>
      </c>
      <c r="D14" s="233"/>
      <c r="E14" s="17">
        <f>IF(D5="Δ",IF(D11=0,R7,IF(D11=1,S7,IF(D11=2,T7,IF(D11=3,U7,IF(D11=4,V7,IF(D11=5,W7,IF(D11=6,X7))))))),IF(D5="Γ",IF(D11=0,Y7,IF(D11=1,Z7,IF(D11=2,AA7,IF(D11=3,AB7,IF(D11=4,AC7,IF(D11=5,AD7)))))),0))*B13</f>
        <v>0</v>
      </c>
      <c r="F14" s="235"/>
      <c r="G14" s="248"/>
      <c r="H14" s="234"/>
      <c r="I14" s="235"/>
      <c r="J14" s="162" t="s">
        <v>100</v>
      </c>
      <c r="K14" s="120">
        <v>0</v>
      </c>
      <c r="L14" s="41">
        <v>0</v>
      </c>
      <c r="M14" s="40">
        <v>1</v>
      </c>
      <c r="N14" s="61">
        <v>2</v>
      </c>
      <c r="O14" s="53">
        <v>0</v>
      </c>
      <c r="P14" s="42">
        <v>1</v>
      </c>
      <c r="Q14" s="62">
        <v>2</v>
      </c>
      <c r="R14" s="91">
        <v>3</v>
      </c>
      <c r="S14" s="57">
        <v>0</v>
      </c>
      <c r="T14" s="43">
        <v>1</v>
      </c>
      <c r="U14" s="62">
        <v>2</v>
      </c>
      <c r="V14" s="62">
        <v>3</v>
      </c>
      <c r="W14" s="61">
        <v>4</v>
      </c>
      <c r="X14" s="59">
        <v>0</v>
      </c>
      <c r="Y14" s="92">
        <v>1</v>
      </c>
      <c r="Z14" s="92">
        <v>2</v>
      </c>
      <c r="AA14" s="62">
        <v>3</v>
      </c>
      <c r="AB14" s="62">
        <v>4</v>
      </c>
      <c r="AC14" s="62">
        <v>5</v>
      </c>
      <c r="AD14" s="62">
        <v>6</v>
      </c>
      <c r="AE14" s="61">
        <v>7</v>
      </c>
      <c r="AF14" s="93">
        <v>0</v>
      </c>
      <c r="AG14" s="33">
        <v>1</v>
      </c>
      <c r="AH14" s="33">
        <v>2</v>
      </c>
      <c r="AI14" s="33">
        <v>3</v>
      </c>
      <c r="AJ14" s="33">
        <v>4</v>
      </c>
      <c r="AK14" s="33">
        <v>5</v>
      </c>
      <c r="AL14" s="33">
        <v>6</v>
      </c>
      <c r="AM14" s="91">
        <v>7</v>
      </c>
    </row>
    <row r="15" spans="1:39" ht="12.75" customHeight="1" thickBot="1">
      <c r="A15" s="272"/>
      <c r="B15" s="1"/>
      <c r="C15" s="82" t="s">
        <v>202</v>
      </c>
      <c r="D15" s="249"/>
      <c r="E15" s="134">
        <v>0</v>
      </c>
      <c r="F15" s="3">
        <v>12</v>
      </c>
      <c r="G15" s="17">
        <f>IF(E15&gt;0,ROUND(E15*F15,2),0)</f>
        <v>0</v>
      </c>
      <c r="H15" s="17">
        <f>IF($D$28&lt;$I$38,20.82,5)</f>
        <v>20.82</v>
      </c>
      <c r="I15" s="17">
        <f>ROUND(G15*H15%,2)</f>
        <v>0</v>
      </c>
      <c r="J15" s="163" t="s">
        <v>103</v>
      </c>
      <c r="K15" s="118">
        <f>ROUND(K7*1.33,0)</f>
        <v>1037</v>
      </c>
      <c r="L15" s="50">
        <f>ROUND(K15*1.1,0)</f>
        <v>1141</v>
      </c>
      <c r="M15" s="46">
        <f>ROUND(L15*1.02,0)</f>
        <v>1164</v>
      </c>
      <c r="N15" s="63">
        <f>ROUND(M15*1.02,0)</f>
        <v>1187</v>
      </c>
      <c r="O15" s="54">
        <f>ROUND(L15*1.15,0)</f>
        <v>1312</v>
      </c>
      <c r="P15" s="47">
        <f>ROUND(O15*1.02,0)</f>
        <v>1338</v>
      </c>
      <c r="Q15" s="64">
        <f>ROUND(P15*1.02,0)</f>
        <v>1365</v>
      </c>
      <c r="R15" s="63">
        <f>ROUND(Q15*1.02,0)</f>
        <v>1392</v>
      </c>
      <c r="S15" s="58">
        <f>ROUND(O15*1.15,0)</f>
        <v>1509</v>
      </c>
      <c r="T15" s="48">
        <f>ROUND(S15*1.02,0)</f>
        <v>1539</v>
      </c>
      <c r="U15" s="64">
        <f>ROUND(T15*1.02,0)</f>
        <v>1570</v>
      </c>
      <c r="V15" s="64">
        <f>ROUND(U15*1.02,0)</f>
        <v>1601</v>
      </c>
      <c r="W15" s="64">
        <f>ROUND(V15*1.02,0)</f>
        <v>1633</v>
      </c>
      <c r="X15" s="55">
        <f>ROUND(S15*1.2,0)</f>
        <v>1811</v>
      </c>
      <c r="Y15" s="49">
        <f t="shared" ref="Y15:AE15" si="2">ROUND(X15*1.02,0)</f>
        <v>1847</v>
      </c>
      <c r="Z15" s="49">
        <f t="shared" si="2"/>
        <v>1884</v>
      </c>
      <c r="AA15" s="64">
        <f t="shared" si="2"/>
        <v>1922</v>
      </c>
      <c r="AB15" s="64">
        <f t="shared" si="2"/>
        <v>1960</v>
      </c>
      <c r="AC15" s="64">
        <f t="shared" si="2"/>
        <v>1999</v>
      </c>
      <c r="AD15" s="64">
        <f t="shared" si="2"/>
        <v>2039</v>
      </c>
      <c r="AE15" s="63">
        <f t="shared" si="2"/>
        <v>2080</v>
      </c>
      <c r="AF15" s="65">
        <f>ROUND(X15*1.1,0)</f>
        <v>1992</v>
      </c>
      <c r="AG15" s="64">
        <f t="shared" ref="AG15:AM15" si="3">ROUND(AF15*1.02,0)</f>
        <v>2032</v>
      </c>
      <c r="AH15" s="64">
        <f t="shared" si="3"/>
        <v>2073</v>
      </c>
      <c r="AI15" s="64">
        <f t="shared" si="3"/>
        <v>2114</v>
      </c>
      <c r="AJ15" s="64">
        <f t="shared" si="3"/>
        <v>2156</v>
      </c>
      <c r="AK15" s="64">
        <f t="shared" si="3"/>
        <v>2199</v>
      </c>
      <c r="AL15" s="64">
        <f t="shared" si="3"/>
        <v>2243</v>
      </c>
      <c r="AM15" s="63">
        <f t="shared" si="3"/>
        <v>2288</v>
      </c>
    </row>
    <row r="16" spans="1:39" ht="12.75" customHeight="1">
      <c r="A16" s="272"/>
      <c r="B16" s="12" t="s">
        <v>3</v>
      </c>
      <c r="C16" s="82" t="s">
        <v>59</v>
      </c>
      <c r="D16" s="233">
        <f>IF(D5=0,0,'ΜΙΣΘΟΔΟΣΙΑ ΜΗΧΑΝΙΚΩΝ'!D16)</f>
        <v>0</v>
      </c>
      <c r="E16" s="94">
        <f>IF(D16=0,K33,IF(D16=0,L33,IF(D16=1,M33,IF(D16=2,N33,IF(D16=3,O33,IF(D16=4,P33,IF(D16=5,Q33,IF(D16=6,R33,0))))))))</f>
        <v>0</v>
      </c>
      <c r="F16" s="235">
        <v>12</v>
      </c>
      <c r="G16" s="234">
        <f>ROUND((E16+E17)*F16,2)</f>
        <v>0</v>
      </c>
      <c r="H16" s="234">
        <f>IF($D$28&lt;$I$38,19.82,4)</f>
        <v>19.82</v>
      </c>
      <c r="I16" s="234">
        <f>ROUND(G16*H16%,2)</f>
        <v>0</v>
      </c>
      <c r="J16" s="161" t="s">
        <v>24</v>
      </c>
      <c r="K16" s="119" t="s">
        <v>126</v>
      </c>
      <c r="L16" s="51" t="s">
        <v>127</v>
      </c>
      <c r="M16" s="44" t="s">
        <v>128</v>
      </c>
      <c r="N16" s="60" t="s">
        <v>129</v>
      </c>
      <c r="O16" s="52" t="s">
        <v>130</v>
      </c>
      <c r="P16" s="45" t="s">
        <v>131</v>
      </c>
      <c r="Q16" s="299" t="s">
        <v>132</v>
      </c>
      <c r="R16" s="300"/>
      <c r="S16" s="95" t="s">
        <v>133</v>
      </c>
      <c r="T16" s="96" t="s">
        <v>134</v>
      </c>
      <c r="U16" s="309" t="s">
        <v>164</v>
      </c>
      <c r="V16" s="324"/>
      <c r="W16" s="325"/>
      <c r="X16" s="89" t="s">
        <v>136</v>
      </c>
      <c r="Y16" s="90" t="s">
        <v>137</v>
      </c>
      <c r="Z16" s="299" t="s">
        <v>165</v>
      </c>
      <c r="AA16" s="289"/>
      <c r="AB16" s="289"/>
      <c r="AC16" s="289"/>
      <c r="AD16" s="289"/>
      <c r="AE16" s="291"/>
      <c r="AF16" s="288" t="s">
        <v>164</v>
      </c>
      <c r="AG16" s="289"/>
      <c r="AH16" s="289"/>
      <c r="AI16" s="289"/>
      <c r="AJ16" s="289"/>
      <c r="AK16" s="290"/>
      <c r="AL16" s="290"/>
      <c r="AM16" s="291"/>
    </row>
    <row r="17" spans="1:39" ht="12.75" customHeight="1">
      <c r="A17" s="272"/>
      <c r="B17" s="12" t="s">
        <v>4</v>
      </c>
      <c r="C17" s="82" t="s">
        <v>59</v>
      </c>
      <c r="D17" s="233"/>
      <c r="E17" s="94">
        <f>IF(D16=7,S33,IF(D16=8,T33,IF(D16=9,U33,IF(D16=10,V33,0))))</f>
        <v>0</v>
      </c>
      <c r="F17" s="235"/>
      <c r="G17" s="234"/>
      <c r="H17" s="234"/>
      <c r="I17" s="234"/>
      <c r="J17" s="160" t="s">
        <v>109</v>
      </c>
      <c r="K17" s="117" t="s">
        <v>110</v>
      </c>
      <c r="L17" s="285" t="s">
        <v>111</v>
      </c>
      <c r="M17" s="302"/>
      <c r="N17" s="303"/>
      <c r="O17" s="301" t="s">
        <v>8</v>
      </c>
      <c r="P17" s="302"/>
      <c r="Q17" s="302"/>
      <c r="R17" s="303"/>
      <c r="S17" s="305" t="s">
        <v>113</v>
      </c>
      <c r="T17" s="286"/>
      <c r="U17" s="286"/>
      <c r="V17" s="286"/>
      <c r="W17" s="287"/>
      <c r="X17" s="328" t="s">
        <v>112</v>
      </c>
      <c r="Y17" s="302"/>
      <c r="Z17" s="302"/>
      <c r="AA17" s="302"/>
      <c r="AB17" s="302"/>
      <c r="AC17" s="302"/>
      <c r="AD17" s="302"/>
      <c r="AE17" s="294"/>
      <c r="AF17" s="292" t="s">
        <v>9</v>
      </c>
      <c r="AG17" s="293"/>
      <c r="AH17" s="293"/>
      <c r="AI17" s="293"/>
      <c r="AJ17" s="293"/>
      <c r="AK17" s="249"/>
      <c r="AL17" s="249"/>
      <c r="AM17" s="294"/>
    </row>
    <row r="18" spans="1:39" ht="12.75" customHeight="1">
      <c r="A18" s="272"/>
      <c r="B18" s="12" t="s">
        <v>5</v>
      </c>
      <c r="C18" s="82" t="s">
        <v>58</v>
      </c>
      <c r="D18" s="233">
        <f>IF(D5=0,0,'ΜΙΣΘΟΔΟΣΙΑ ΜΗΧΑΝΙΚΩΝ'!D18)</f>
        <v>0</v>
      </c>
      <c r="E18" s="17">
        <f>IF(D18=1,P24,IF(D18=2,S24,IF(D18=3,V24,IF(D18=4,AA24,IF(D18=5,L29,IF(D18=6,T29,IF(D18=7,O24,0)))))))</f>
        <v>0</v>
      </c>
      <c r="F18" s="235">
        <v>12</v>
      </c>
      <c r="G18" s="234">
        <f>ROUND((E18+E19)*F18,2)</f>
        <v>0</v>
      </c>
      <c r="H18" s="234">
        <f>IF($D$28&lt;$I$38,22.82,7)</f>
        <v>22.82</v>
      </c>
      <c r="I18" s="234">
        <f>ROUND(G18*H18%,2)</f>
        <v>0</v>
      </c>
      <c r="J18" s="162" t="s">
        <v>100</v>
      </c>
      <c r="K18" s="120">
        <v>0</v>
      </c>
      <c r="L18" s="41">
        <v>0</v>
      </c>
      <c r="M18" s="40">
        <v>1</v>
      </c>
      <c r="N18" s="61">
        <v>2</v>
      </c>
      <c r="O18" s="53">
        <v>0</v>
      </c>
      <c r="P18" s="42">
        <v>1</v>
      </c>
      <c r="Q18" s="62">
        <v>2</v>
      </c>
      <c r="R18" s="61">
        <v>3</v>
      </c>
      <c r="S18" s="57">
        <v>0</v>
      </c>
      <c r="T18" s="43">
        <v>1</v>
      </c>
      <c r="U18" s="62">
        <v>2</v>
      </c>
      <c r="V18" s="62">
        <v>3</v>
      </c>
      <c r="W18" s="61">
        <v>4</v>
      </c>
      <c r="X18" s="59">
        <v>0</v>
      </c>
      <c r="Y18" s="92">
        <v>1</v>
      </c>
      <c r="Z18" s="62">
        <v>2</v>
      </c>
      <c r="AA18" s="62">
        <v>3</v>
      </c>
      <c r="AB18" s="62">
        <v>4</v>
      </c>
      <c r="AC18" s="62">
        <v>5</v>
      </c>
      <c r="AD18" s="62">
        <v>6</v>
      </c>
      <c r="AE18" s="61">
        <v>7</v>
      </c>
      <c r="AF18" s="93">
        <v>0</v>
      </c>
      <c r="AG18" s="33">
        <v>1</v>
      </c>
      <c r="AH18" s="33">
        <v>2</v>
      </c>
      <c r="AI18" s="33">
        <v>3</v>
      </c>
      <c r="AJ18" s="33">
        <v>4</v>
      </c>
      <c r="AK18" s="33">
        <v>5</v>
      </c>
      <c r="AL18" s="33">
        <v>6</v>
      </c>
      <c r="AM18" s="91">
        <v>7</v>
      </c>
    </row>
    <row r="19" spans="1:39" ht="12.75" customHeight="1" thickBot="1">
      <c r="A19" s="272"/>
      <c r="B19" s="12" t="s">
        <v>6</v>
      </c>
      <c r="C19" s="82" t="s">
        <v>58</v>
      </c>
      <c r="D19" s="233"/>
      <c r="E19" s="17">
        <f>IF(D18=8,M24,IF(D18=9,Y29,IF(D18=10,N24,IF(D18=11,L24,IF(D18=12,X29,0)))))</f>
        <v>0</v>
      </c>
      <c r="F19" s="235"/>
      <c r="G19" s="234"/>
      <c r="H19" s="234"/>
      <c r="I19" s="234"/>
      <c r="J19" s="159" t="s">
        <v>104</v>
      </c>
      <c r="K19" s="121">
        <f>ROUND(K7*1.4,0)</f>
        <v>1092</v>
      </c>
      <c r="L19" s="50">
        <f>ROUND(K19*1.1,0)</f>
        <v>1201</v>
      </c>
      <c r="M19" s="46">
        <f>ROUND(L19*1.02,0)</f>
        <v>1225</v>
      </c>
      <c r="N19" s="63">
        <f>ROUND(M19*1.02,0)</f>
        <v>1250</v>
      </c>
      <c r="O19" s="54">
        <f>ROUND(L19*1.15,0)</f>
        <v>1381</v>
      </c>
      <c r="P19" s="47">
        <f>ROUND(O19*1.02,0)</f>
        <v>1409</v>
      </c>
      <c r="Q19" s="64">
        <f>ROUND(P19*1.02,0)</f>
        <v>1437</v>
      </c>
      <c r="R19" s="63">
        <f>ROUND(Q19*1.02,0)</f>
        <v>1466</v>
      </c>
      <c r="S19" s="58">
        <f>ROUND(O19*1.15,0)</f>
        <v>1588</v>
      </c>
      <c r="T19" s="48">
        <f>ROUND(S19*1.02,0)</f>
        <v>1620</v>
      </c>
      <c r="U19" s="64">
        <f>ROUND(T19*1.02,0)</f>
        <v>1652</v>
      </c>
      <c r="V19" s="64">
        <f>ROUND(U19*1.02,0)</f>
        <v>1685</v>
      </c>
      <c r="W19" s="64">
        <f>ROUND(V19*1.02,0)</f>
        <v>1719</v>
      </c>
      <c r="X19" s="55">
        <f>ROUND(S19*1.2,0)</f>
        <v>1906</v>
      </c>
      <c r="Y19" s="49">
        <f t="shared" ref="Y19:AE19" si="4">ROUND(X19*1.02,0)</f>
        <v>1944</v>
      </c>
      <c r="Z19" s="64">
        <f t="shared" si="4"/>
        <v>1983</v>
      </c>
      <c r="AA19" s="64">
        <f t="shared" si="4"/>
        <v>2023</v>
      </c>
      <c r="AB19" s="64">
        <f t="shared" si="4"/>
        <v>2063</v>
      </c>
      <c r="AC19" s="64">
        <f t="shared" si="4"/>
        <v>2104</v>
      </c>
      <c r="AD19" s="64">
        <f t="shared" si="4"/>
        <v>2146</v>
      </c>
      <c r="AE19" s="63">
        <f t="shared" si="4"/>
        <v>2189</v>
      </c>
      <c r="AF19" s="65">
        <f>ROUND(X19*1.1,0)</f>
        <v>2097</v>
      </c>
      <c r="AG19" s="64">
        <f t="shared" ref="AG19:AM19" si="5">ROUND(AF19*1.02,0)</f>
        <v>2139</v>
      </c>
      <c r="AH19" s="64">
        <f t="shared" si="5"/>
        <v>2182</v>
      </c>
      <c r="AI19" s="64">
        <f t="shared" si="5"/>
        <v>2226</v>
      </c>
      <c r="AJ19" s="64">
        <f t="shared" si="5"/>
        <v>2271</v>
      </c>
      <c r="AK19" s="64">
        <f t="shared" si="5"/>
        <v>2316</v>
      </c>
      <c r="AL19" s="64">
        <f t="shared" si="5"/>
        <v>2362</v>
      </c>
      <c r="AM19" s="63">
        <f t="shared" si="5"/>
        <v>2409</v>
      </c>
    </row>
    <row r="20" spans="1:39" ht="12.75" customHeight="1">
      <c r="A20" s="272"/>
      <c r="B20" s="12" t="s">
        <v>7</v>
      </c>
      <c r="C20" s="82" t="s">
        <v>114</v>
      </c>
      <c r="D20" s="24">
        <f>IF(D5=0,0,'ΜΙΣΘΟΔΟΣΙΑ ΜΗΧΑΝΙΚΩΝ'!D20)</f>
        <v>0</v>
      </c>
      <c r="E20" s="17">
        <f>IF(D20=1,AB29,0)</f>
        <v>0</v>
      </c>
      <c r="F20" s="16">
        <v>12</v>
      </c>
      <c r="G20" s="17">
        <f>ROUND(E20*F20,2)</f>
        <v>0</v>
      </c>
      <c r="H20" s="17">
        <f>IF($D$28&lt;$I$38,19.82,4)</f>
        <v>19.82</v>
      </c>
      <c r="I20" s="17">
        <f>ROUND(G20*H20%,2)</f>
        <v>0</v>
      </c>
      <c r="J20" s="158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15"/>
      <c r="AG20" s="15"/>
      <c r="AH20" s="15"/>
      <c r="AI20" s="15"/>
    </row>
    <row r="21" spans="1:39" ht="12.75" customHeight="1">
      <c r="A21" s="273"/>
      <c r="B21" s="12" t="s">
        <v>4</v>
      </c>
      <c r="C21" s="82" t="s">
        <v>172</v>
      </c>
      <c r="D21" s="24">
        <f>IF(D5=0,0,'ΜΙΣΘΟΔΟΣΙΑ ΜΗΧΑΝΙΚΩΝ'!D21)</f>
        <v>0</v>
      </c>
      <c r="E21" s="17">
        <f>IF(D21=1,AC29,IF(D21=2,AD29,IF(D21=3,AE29,0)))</f>
        <v>0</v>
      </c>
      <c r="F21" s="16">
        <v>12</v>
      </c>
      <c r="G21" s="17">
        <f>ROUND(E21*F21,2)</f>
        <v>0</v>
      </c>
      <c r="H21" s="17">
        <f>IF($D$28&lt;$I$38,19.82,4)</f>
        <v>19.82</v>
      </c>
      <c r="I21" s="17">
        <f>ROUND(G21*H21%,2)</f>
        <v>0</v>
      </c>
      <c r="J21" s="10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34"/>
      <c r="AC21" s="34"/>
      <c r="AD21" s="34"/>
      <c r="AE21" s="34"/>
      <c r="AF21" s="15"/>
      <c r="AG21" s="15"/>
      <c r="AH21" s="15"/>
      <c r="AI21" s="15"/>
    </row>
    <row r="22" spans="1:39" ht="12.75" customHeight="1">
      <c r="A22" s="34"/>
      <c r="B22" s="12"/>
      <c r="C22" s="82" t="s">
        <v>40</v>
      </c>
      <c r="D22" s="174">
        <f>'ΜΙΣΘΟΔΟΣΙΑ ΜΗΧΑΝΙΚΩΝ'!D22</f>
        <v>0</v>
      </c>
      <c r="E22" s="17"/>
      <c r="F22" s="16">
        <v>12</v>
      </c>
      <c r="G22" s="17"/>
      <c r="H22" s="17">
        <f>D22</f>
        <v>0</v>
      </c>
      <c r="I22" s="17">
        <f>ROUND(F22*H22,2)</f>
        <v>0</v>
      </c>
      <c r="J22" s="284" t="s">
        <v>78</v>
      </c>
      <c r="K22" s="235"/>
      <c r="L22" s="24" t="s">
        <v>123</v>
      </c>
      <c r="M22" s="283" t="s">
        <v>159</v>
      </c>
      <c r="N22" s="235"/>
      <c r="O22" s="12" t="s">
        <v>21</v>
      </c>
      <c r="P22" s="281" t="s">
        <v>162</v>
      </c>
      <c r="Q22" s="282"/>
      <c r="R22" s="238"/>
      <c r="S22" s="281" t="s">
        <v>163</v>
      </c>
      <c r="T22" s="282"/>
      <c r="U22" s="238"/>
      <c r="V22" s="283" t="s">
        <v>148</v>
      </c>
      <c r="W22" s="235"/>
      <c r="X22" s="235"/>
      <c r="Y22" s="235"/>
      <c r="Z22" s="249"/>
      <c r="AA22" s="283" t="s">
        <v>149</v>
      </c>
      <c r="AB22" s="235"/>
      <c r="AC22" s="235"/>
      <c r="AD22" s="235"/>
      <c r="AE22" s="258"/>
      <c r="AF22" s="15"/>
      <c r="AG22" s="15"/>
      <c r="AH22" s="15"/>
      <c r="AI22" s="15"/>
    </row>
    <row r="23" spans="1:39" ht="12.75" customHeight="1">
      <c r="A23" s="21">
        <f>'ΜΙΣΘΟΔΟΣΙΑ ΜΗΧΑΝΙΚΩΝ'!A23</f>
        <v>1</v>
      </c>
      <c r="B23" s="12"/>
      <c r="C23" s="82" t="s">
        <v>81</v>
      </c>
      <c r="D23" s="174">
        <f>'ΜΙΣΘΟΔΟΣΙΑ ΜΗΧΑΝΙΚΩΝ'!D23</f>
        <v>0</v>
      </c>
      <c r="E23" s="17"/>
      <c r="F23" s="16">
        <v>12</v>
      </c>
      <c r="G23" s="17"/>
      <c r="H23" s="17">
        <f>D23</f>
        <v>0</v>
      </c>
      <c r="I23" s="17">
        <f t="shared" ref="I23:I28" si="6">ROUND(F23*H23,2)</f>
        <v>0</v>
      </c>
      <c r="J23" s="284" t="s">
        <v>41</v>
      </c>
      <c r="K23" s="235"/>
      <c r="L23" s="24" t="s">
        <v>122</v>
      </c>
      <c r="M23" s="12" t="s">
        <v>19</v>
      </c>
      <c r="N23" s="24" t="s">
        <v>171</v>
      </c>
      <c r="O23" s="12" t="s">
        <v>22</v>
      </c>
      <c r="P23" s="12" t="s">
        <v>160</v>
      </c>
      <c r="Q23" s="12" t="s">
        <v>161</v>
      </c>
      <c r="R23" s="12" t="s">
        <v>99</v>
      </c>
      <c r="S23" s="12" t="s">
        <v>160</v>
      </c>
      <c r="T23" s="12" t="s">
        <v>161</v>
      </c>
      <c r="U23" s="12" t="s">
        <v>99</v>
      </c>
      <c r="V23" s="12" t="s">
        <v>15</v>
      </c>
      <c r="W23" s="28" t="s">
        <v>201</v>
      </c>
      <c r="X23" s="28" t="s">
        <v>168</v>
      </c>
      <c r="Y23" s="21" t="s">
        <v>155</v>
      </c>
      <c r="Z23" s="28" t="s">
        <v>145</v>
      </c>
      <c r="AA23" s="12" t="s">
        <v>15</v>
      </c>
      <c r="AB23" s="28" t="s">
        <v>201</v>
      </c>
      <c r="AC23" s="28" t="s">
        <v>168</v>
      </c>
      <c r="AD23" s="21" t="s">
        <v>155</v>
      </c>
      <c r="AE23" s="28" t="s">
        <v>145</v>
      </c>
      <c r="AF23" s="15"/>
    </row>
    <row r="24" spans="1:39" ht="12.75" customHeight="1">
      <c r="A24" s="257" t="s">
        <v>268</v>
      </c>
      <c r="B24" s="12"/>
      <c r="C24" s="82" t="s">
        <v>34</v>
      </c>
      <c r="D24" s="174">
        <f>'ΜΙΣΘΟΔΟΣΙΑ ΜΗΧΑΝΙΚΩΝ'!D24</f>
        <v>0</v>
      </c>
      <c r="E24" s="17"/>
      <c r="F24" s="16">
        <v>0</v>
      </c>
      <c r="G24" s="17"/>
      <c r="H24" s="17">
        <f>D24</f>
        <v>0</v>
      </c>
      <c r="I24" s="17">
        <f t="shared" si="6"/>
        <v>0</v>
      </c>
      <c r="J24" s="280" t="s">
        <v>58</v>
      </c>
      <c r="K24" s="235"/>
      <c r="L24" s="17">
        <v>900</v>
      </c>
      <c r="M24" s="17">
        <v>550</v>
      </c>
      <c r="N24" s="17">
        <v>450</v>
      </c>
      <c r="O24" s="17">
        <v>400</v>
      </c>
      <c r="P24" s="17">
        <v>350</v>
      </c>
      <c r="Q24" s="17">
        <v>350</v>
      </c>
      <c r="R24" s="17">
        <v>350</v>
      </c>
      <c r="S24" s="17">
        <v>300</v>
      </c>
      <c r="T24" s="17">
        <v>300</v>
      </c>
      <c r="U24" s="17">
        <v>300</v>
      </c>
      <c r="V24" s="17">
        <v>300</v>
      </c>
      <c r="W24" s="17">
        <v>300</v>
      </c>
      <c r="X24" s="17">
        <v>300</v>
      </c>
      <c r="Y24" s="17">
        <v>300</v>
      </c>
      <c r="Z24" s="17">
        <v>300</v>
      </c>
      <c r="AA24" s="17">
        <v>250</v>
      </c>
      <c r="AB24" s="17">
        <v>250</v>
      </c>
      <c r="AC24" s="17">
        <v>250</v>
      </c>
      <c r="AD24" s="17">
        <v>250</v>
      </c>
      <c r="AE24" s="17">
        <v>250</v>
      </c>
      <c r="AF24" s="15"/>
    </row>
    <row r="25" spans="1:39" ht="12.75" customHeight="1">
      <c r="A25" s="249"/>
      <c r="B25" s="12"/>
      <c r="C25" s="82" t="s">
        <v>60</v>
      </c>
      <c r="D25" s="174">
        <f>'ΜΙΣΘΟΔΟΣΙΑ ΜΗΧΑΝΙΚΩΝ'!D25</f>
        <v>0</v>
      </c>
      <c r="E25" s="17"/>
      <c r="F25" s="16">
        <v>12</v>
      </c>
      <c r="G25" s="17"/>
      <c r="H25" s="17">
        <f>D25</f>
        <v>0</v>
      </c>
      <c r="I25" s="17">
        <f t="shared" si="6"/>
        <v>0</v>
      </c>
      <c r="J25" s="10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"/>
      <c r="AC25" s="1"/>
      <c r="AD25" s="34"/>
      <c r="AE25" s="34"/>
      <c r="AF25" s="15"/>
    </row>
    <row r="26" spans="1:39" ht="12.75" customHeight="1">
      <c r="A26" s="249"/>
      <c r="B26" s="12"/>
      <c r="C26" s="82" t="s">
        <v>97</v>
      </c>
      <c r="D26" s="56">
        <f>IF($A$23&gt;0,140.8,0)</f>
        <v>140.80000000000001</v>
      </c>
      <c r="E26" s="17"/>
      <c r="F26" s="16">
        <v>12</v>
      </c>
      <c r="G26" s="17"/>
      <c r="H26" s="17">
        <f>ROUND(D26*4%,2)</f>
        <v>5.63</v>
      </c>
      <c r="I26" s="17">
        <f t="shared" si="6"/>
        <v>67.56</v>
      </c>
      <c r="J26" s="10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34"/>
      <c r="AC26" s="34"/>
      <c r="AD26" s="34"/>
      <c r="AE26" s="34"/>
      <c r="AF26" s="15"/>
    </row>
    <row r="27" spans="1:39" ht="12.75" customHeight="1">
      <c r="A27" s="249"/>
      <c r="B27" s="12"/>
      <c r="C27" s="82" t="s">
        <v>83</v>
      </c>
      <c r="D27" s="24">
        <f>IF($A$23&gt;0,ROUND($G$38*12%,2),0)</f>
        <v>83.2</v>
      </c>
      <c r="E27" s="17"/>
      <c r="F27" s="16">
        <v>12</v>
      </c>
      <c r="G27" s="17"/>
      <c r="H27" s="17">
        <f>D27</f>
        <v>83.2</v>
      </c>
      <c r="I27" s="17">
        <f t="shared" si="6"/>
        <v>998.4</v>
      </c>
      <c r="J27" s="284" t="s">
        <v>78</v>
      </c>
      <c r="K27" s="235"/>
      <c r="L27" s="283" t="s">
        <v>147</v>
      </c>
      <c r="M27" s="238"/>
      <c r="N27" s="238"/>
      <c r="O27" s="238"/>
      <c r="P27" s="238"/>
      <c r="Q27" s="238"/>
      <c r="R27" s="233" t="s">
        <v>156</v>
      </c>
      <c r="S27" s="238"/>
      <c r="T27" s="283" t="s">
        <v>45</v>
      </c>
      <c r="U27" s="235"/>
      <c r="V27" s="235"/>
      <c r="W27" s="235"/>
      <c r="X27" s="238"/>
      <c r="Y27" s="249"/>
      <c r="Z27" s="12" t="s">
        <v>122</v>
      </c>
      <c r="AA27" s="28" t="s">
        <v>16</v>
      </c>
      <c r="AB27" s="143" t="s">
        <v>196</v>
      </c>
      <c r="AC27" s="269" t="s">
        <v>195</v>
      </c>
      <c r="AD27" s="235"/>
      <c r="AE27" s="269"/>
      <c r="AF27" s="15"/>
    </row>
    <row r="28" spans="1:39" ht="12.75" customHeight="1">
      <c r="A28" s="249"/>
      <c r="B28" s="12"/>
      <c r="C28" s="34" t="s">
        <v>228</v>
      </c>
      <c r="D28" s="30">
        <f>IF($E$36&lt;$I$38,0,$I$38)</f>
        <v>0</v>
      </c>
      <c r="E28" s="17"/>
      <c r="F28" s="16">
        <v>12</v>
      </c>
      <c r="G28" s="17"/>
      <c r="H28" s="17">
        <f>ROUND($D$28*15.82%,2)</f>
        <v>0</v>
      </c>
      <c r="I28" s="17">
        <f t="shared" si="6"/>
        <v>0</v>
      </c>
      <c r="J28" s="284" t="s">
        <v>41</v>
      </c>
      <c r="K28" s="235"/>
      <c r="L28" s="12" t="s">
        <v>160</v>
      </c>
      <c r="M28" s="12" t="s">
        <v>161</v>
      </c>
      <c r="N28" s="12" t="s">
        <v>99</v>
      </c>
      <c r="O28" s="12" t="s">
        <v>15</v>
      </c>
      <c r="P28" s="28" t="s">
        <v>154</v>
      </c>
      <c r="Q28" s="28" t="s">
        <v>145</v>
      </c>
      <c r="R28" s="28" t="s">
        <v>157</v>
      </c>
      <c r="S28" s="21" t="s">
        <v>158</v>
      </c>
      <c r="T28" s="28" t="s">
        <v>146</v>
      </c>
      <c r="U28" s="107" t="s">
        <v>152</v>
      </c>
      <c r="V28" s="128" t="s">
        <v>166</v>
      </c>
      <c r="W28" s="12" t="s">
        <v>106</v>
      </c>
      <c r="X28" s="12" t="s">
        <v>77</v>
      </c>
      <c r="Y28" s="21" t="s">
        <v>153</v>
      </c>
      <c r="Z28" s="12" t="s">
        <v>115</v>
      </c>
      <c r="AA28" s="28" t="s">
        <v>17</v>
      </c>
      <c r="AB28" s="28" t="s">
        <v>197</v>
      </c>
      <c r="AC28" s="28" t="s">
        <v>198</v>
      </c>
      <c r="AD28" s="28" t="s">
        <v>199</v>
      </c>
      <c r="AE28" s="28" t="s">
        <v>200</v>
      </c>
      <c r="AF28" s="15"/>
    </row>
    <row r="29" spans="1:39" ht="12.75" customHeight="1">
      <c r="A29" s="249"/>
      <c r="B29" s="12"/>
      <c r="C29" s="34"/>
      <c r="D29" s="16"/>
      <c r="E29" s="17"/>
      <c r="F29" s="16"/>
      <c r="G29" s="17"/>
      <c r="H29" s="17"/>
      <c r="I29" s="17"/>
      <c r="J29" s="280" t="s">
        <v>58</v>
      </c>
      <c r="K29" s="235"/>
      <c r="L29" s="17">
        <v>150</v>
      </c>
      <c r="M29" s="4">
        <v>150</v>
      </c>
      <c r="N29" s="17">
        <v>150</v>
      </c>
      <c r="O29" s="17">
        <v>150</v>
      </c>
      <c r="P29" s="17">
        <v>150</v>
      </c>
      <c r="Q29" s="17">
        <v>150</v>
      </c>
      <c r="R29" s="17">
        <v>150</v>
      </c>
      <c r="S29" s="17">
        <v>150</v>
      </c>
      <c r="T29" s="17">
        <v>100</v>
      </c>
      <c r="U29" s="17">
        <v>100</v>
      </c>
      <c r="V29" s="17">
        <v>100</v>
      </c>
      <c r="W29" s="147">
        <v>150</v>
      </c>
      <c r="X29" s="147">
        <v>250</v>
      </c>
      <c r="Y29" s="148">
        <v>300</v>
      </c>
      <c r="Z29" s="147">
        <v>300</v>
      </c>
      <c r="AA29" s="149" t="s">
        <v>120</v>
      </c>
      <c r="AB29" s="147">
        <v>100</v>
      </c>
      <c r="AC29" s="147">
        <v>150</v>
      </c>
      <c r="AD29" s="147">
        <v>70</v>
      </c>
      <c r="AE29" s="147">
        <v>35</v>
      </c>
      <c r="AF29" s="15"/>
    </row>
    <row r="30" spans="1:39" ht="12.75" customHeight="1">
      <c r="A30" s="249"/>
      <c r="B30" s="12"/>
      <c r="C30" s="34"/>
      <c r="D30" s="16"/>
      <c r="E30" s="17"/>
      <c r="F30" s="16"/>
      <c r="G30" s="17"/>
      <c r="H30" s="17"/>
      <c r="I30" s="17"/>
      <c r="J30" s="106"/>
      <c r="K30" s="24"/>
      <c r="L30" s="12"/>
      <c r="M30" s="98"/>
      <c r="N30" s="12"/>
      <c r="O30" s="12"/>
      <c r="P30" s="12"/>
      <c r="Q30" s="12"/>
      <c r="R30" s="12"/>
      <c r="S30" s="12"/>
      <c r="T30" s="12"/>
      <c r="U30" s="12"/>
      <c r="V30" s="24"/>
      <c r="W30" s="150"/>
      <c r="X30" s="151"/>
      <c r="Y30" s="151"/>
      <c r="Z30" s="151"/>
      <c r="AA30" s="151"/>
      <c r="AB30" s="144"/>
      <c r="AC30" s="144"/>
      <c r="AD30" s="144"/>
      <c r="AE30" s="144"/>
      <c r="AF30" s="15"/>
    </row>
    <row r="31" spans="1:39" ht="12.75" customHeight="1">
      <c r="A31" s="249"/>
      <c r="B31" s="12"/>
      <c r="C31" s="34"/>
      <c r="D31" s="16"/>
      <c r="E31" s="17"/>
      <c r="F31" s="16"/>
      <c r="G31" s="17"/>
      <c r="H31" s="17"/>
      <c r="I31" s="17"/>
      <c r="J31" s="106"/>
      <c r="K31" s="24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79"/>
      <c r="X31" s="11"/>
      <c r="Y31" s="11"/>
      <c r="Z31" s="11"/>
      <c r="AA31" s="11"/>
      <c r="AB31" s="84"/>
      <c r="AC31" s="84"/>
      <c r="AD31" s="84"/>
      <c r="AE31" s="84"/>
      <c r="AF31" s="15"/>
      <c r="AG31" s="15"/>
      <c r="AH31" s="15"/>
      <c r="AI31" s="15"/>
    </row>
    <row r="32" spans="1:39" ht="12.75" customHeight="1">
      <c r="A32" s="249"/>
      <c r="B32" s="12"/>
      <c r="C32" s="34"/>
      <c r="D32" s="16"/>
      <c r="E32" s="17"/>
      <c r="F32" s="16"/>
      <c r="G32" s="17"/>
      <c r="H32" s="17"/>
      <c r="I32" s="17"/>
      <c r="J32" s="106" t="s">
        <v>17</v>
      </c>
      <c r="K32" s="12" t="s">
        <v>14</v>
      </c>
      <c r="L32" s="12" t="s">
        <v>13</v>
      </c>
      <c r="M32" s="12" t="s">
        <v>64</v>
      </c>
      <c r="N32" s="12" t="s">
        <v>65</v>
      </c>
      <c r="O32" s="12" t="s">
        <v>66</v>
      </c>
      <c r="P32" s="12" t="s">
        <v>67</v>
      </c>
      <c r="Q32" s="12" t="s">
        <v>68</v>
      </c>
      <c r="R32" s="12" t="s">
        <v>69</v>
      </c>
      <c r="S32" s="12" t="s">
        <v>70</v>
      </c>
      <c r="T32" s="12" t="s">
        <v>71</v>
      </c>
      <c r="U32" s="12" t="s">
        <v>74</v>
      </c>
      <c r="V32" s="12" t="s">
        <v>151</v>
      </c>
      <c r="W32" s="79"/>
      <c r="X32" s="11"/>
      <c r="Y32" s="11"/>
      <c r="Z32" s="11"/>
      <c r="AA32" s="11"/>
      <c r="AB32" s="5"/>
      <c r="AC32" s="5"/>
      <c r="AD32" s="84"/>
      <c r="AE32" s="84"/>
      <c r="AF32" s="84"/>
      <c r="AG32" s="84"/>
      <c r="AH32" s="84"/>
      <c r="AI32" s="15"/>
    </row>
    <row r="33" spans="1:35" ht="12.75" customHeight="1">
      <c r="A33" s="249"/>
      <c r="B33" s="12"/>
      <c r="C33" s="82"/>
      <c r="D33" s="16"/>
      <c r="E33" s="17"/>
      <c r="F33" s="39"/>
      <c r="G33" s="17"/>
      <c r="H33" s="17"/>
      <c r="I33" s="17"/>
      <c r="J33" s="106" t="s">
        <v>72</v>
      </c>
      <c r="K33" s="94">
        <f>K35</f>
        <v>0</v>
      </c>
      <c r="L33" s="17">
        <f t="shared" ref="L33:V33" si="7">K33+L35</f>
        <v>0</v>
      </c>
      <c r="M33" s="17">
        <f t="shared" si="7"/>
        <v>50</v>
      </c>
      <c r="N33" s="17">
        <f t="shared" si="7"/>
        <v>70</v>
      </c>
      <c r="O33" s="17">
        <f t="shared" si="7"/>
        <v>120</v>
      </c>
      <c r="P33" s="17">
        <f t="shared" si="7"/>
        <v>170</v>
      </c>
      <c r="Q33" s="17">
        <f t="shared" si="7"/>
        <v>240</v>
      </c>
      <c r="R33" s="17">
        <f t="shared" si="7"/>
        <v>310</v>
      </c>
      <c r="S33" s="17">
        <f t="shared" si="7"/>
        <v>380</v>
      </c>
      <c r="T33" s="17">
        <f t="shared" si="7"/>
        <v>450</v>
      </c>
      <c r="U33" s="17">
        <f t="shared" si="7"/>
        <v>520</v>
      </c>
      <c r="V33" s="17">
        <f t="shared" si="7"/>
        <v>590</v>
      </c>
      <c r="W33" s="152"/>
      <c r="X33" s="5"/>
      <c r="Y33" s="5"/>
      <c r="Z33" s="5"/>
      <c r="AA33" s="5"/>
      <c r="AB33" s="5"/>
      <c r="AC33" s="5"/>
      <c r="AD33" s="84"/>
      <c r="AE33" s="84"/>
      <c r="AF33" s="84"/>
      <c r="AG33" s="84"/>
      <c r="AH33" s="84"/>
      <c r="AI33" s="15"/>
    </row>
    <row r="34" spans="1:35" ht="12.75" customHeight="1">
      <c r="A34" s="249"/>
      <c r="B34" s="12"/>
      <c r="C34" s="82"/>
      <c r="D34" s="16"/>
      <c r="E34" s="17"/>
      <c r="F34" s="16"/>
      <c r="G34" s="17"/>
      <c r="H34" s="17"/>
      <c r="I34" s="17"/>
      <c r="J34" s="106" t="s">
        <v>75</v>
      </c>
      <c r="K34" s="12" t="s">
        <v>14</v>
      </c>
      <c r="L34" s="28" t="s">
        <v>33</v>
      </c>
      <c r="M34" s="28" t="s">
        <v>25</v>
      </c>
      <c r="N34" s="28" t="s">
        <v>26</v>
      </c>
      <c r="O34" s="28" t="s">
        <v>27</v>
      </c>
      <c r="P34" s="28" t="s">
        <v>28</v>
      </c>
      <c r="Q34" s="28" t="s">
        <v>29</v>
      </c>
      <c r="R34" s="28" t="s">
        <v>30</v>
      </c>
      <c r="S34" s="28" t="s">
        <v>31</v>
      </c>
      <c r="T34" s="28" t="s">
        <v>32</v>
      </c>
      <c r="U34" s="28" t="s">
        <v>73</v>
      </c>
      <c r="V34" s="28" t="s">
        <v>150</v>
      </c>
      <c r="W34" s="152"/>
      <c r="X34" s="5"/>
      <c r="Y34" s="5"/>
      <c r="Z34" s="5"/>
      <c r="AA34" s="5"/>
      <c r="AB34" s="5"/>
      <c r="AC34" s="5"/>
      <c r="AD34" s="84"/>
      <c r="AE34" s="84"/>
      <c r="AF34" s="5"/>
      <c r="AG34" s="5"/>
      <c r="AH34" s="5"/>
      <c r="AI34" s="15"/>
    </row>
    <row r="35" spans="1:35" ht="12.75" customHeight="1">
      <c r="A35" s="249"/>
      <c r="B35" s="12"/>
      <c r="C35" s="34"/>
      <c r="D35" s="16"/>
      <c r="E35" s="154">
        <f>E5+E6+E7+E8+E9+E10+E11+E12+E13+E14</f>
        <v>0</v>
      </c>
      <c r="F35" s="16"/>
      <c r="G35" s="16"/>
      <c r="H35" s="17"/>
      <c r="I35" s="17"/>
      <c r="J35" s="166" t="s">
        <v>76</v>
      </c>
      <c r="K35" s="146">
        <v>0</v>
      </c>
      <c r="L35" s="146">
        <v>0</v>
      </c>
      <c r="M35" s="146">
        <v>50</v>
      </c>
      <c r="N35" s="146">
        <v>20</v>
      </c>
      <c r="O35" s="146">
        <v>50</v>
      </c>
      <c r="P35" s="146">
        <v>50</v>
      </c>
      <c r="Q35" s="146">
        <v>70</v>
      </c>
      <c r="R35" s="146">
        <v>70</v>
      </c>
      <c r="S35" s="146">
        <v>70</v>
      </c>
      <c r="T35" s="146">
        <v>70</v>
      </c>
      <c r="U35" s="146">
        <v>70</v>
      </c>
      <c r="V35" s="146">
        <v>70</v>
      </c>
      <c r="W35" s="152"/>
      <c r="X35" s="5"/>
      <c r="Y35" s="5"/>
      <c r="Z35" s="5"/>
      <c r="AA35" s="5"/>
      <c r="AB35" s="5"/>
      <c r="AC35" s="5"/>
      <c r="AD35" s="84"/>
      <c r="AE35" s="84"/>
      <c r="AF35" s="5"/>
      <c r="AG35" s="5"/>
      <c r="AH35" s="5"/>
      <c r="AI35" s="15"/>
    </row>
    <row r="36" spans="1:35" ht="12.75" customHeight="1">
      <c r="A36" s="249"/>
      <c r="B36" s="12"/>
      <c r="C36" s="16" t="s">
        <v>208</v>
      </c>
      <c r="D36" s="16"/>
      <c r="E36" s="99">
        <f>E5+E6+E7+E8+E9+E10+E11+E12+E13+E14+E15+E16+E17+E18+E19+E20+E21</f>
        <v>0</v>
      </c>
      <c r="F36" s="16"/>
      <c r="G36" s="17">
        <f>G5+G8+G11+G13+G15+G16+G18+G20+G21</f>
        <v>0</v>
      </c>
      <c r="H36" s="17"/>
      <c r="I36" s="17">
        <f>I5+I8+I11+I13+I15+I16+I18+I20+I21+I22+I23+I24+I25+I26+I27+I28</f>
        <v>1065.96</v>
      </c>
      <c r="J36" s="10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"/>
      <c r="W36" s="79"/>
      <c r="X36" s="11"/>
      <c r="Y36" s="11"/>
      <c r="Z36" s="11"/>
      <c r="AA36" s="11"/>
      <c r="AB36" s="37"/>
      <c r="AC36" s="37"/>
      <c r="AD36" s="84"/>
      <c r="AE36" s="84"/>
      <c r="AF36" s="37"/>
      <c r="AI36" s="15"/>
    </row>
    <row r="37" spans="1:35" ht="12.75" customHeight="1">
      <c r="A37" s="10"/>
      <c r="B37" s="12"/>
      <c r="C37" s="16"/>
      <c r="D37" s="16"/>
      <c r="E37" s="99"/>
      <c r="F37" s="16"/>
      <c r="G37" s="17"/>
      <c r="H37" s="17"/>
      <c r="I37" s="17"/>
      <c r="J37" s="13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5"/>
      <c r="W37" s="11"/>
      <c r="X37" s="11"/>
      <c r="Y37" s="11"/>
      <c r="Z37" s="11"/>
      <c r="AA37" s="11"/>
      <c r="AB37" s="37"/>
      <c r="AC37" s="37"/>
      <c r="AD37" s="84"/>
      <c r="AE37" s="84"/>
      <c r="AF37" s="37"/>
      <c r="AI37" s="15"/>
    </row>
    <row r="38" spans="1:35" s="5" customFormat="1">
      <c r="A38" s="24"/>
      <c r="B38" s="1"/>
      <c r="C38" s="234" t="s">
        <v>105</v>
      </c>
      <c r="D38" s="235"/>
      <c r="E38" s="235"/>
      <c r="F38" s="16" t="s">
        <v>0</v>
      </c>
      <c r="G38" s="17">
        <v>693.35</v>
      </c>
      <c r="H38" s="30">
        <v>8</v>
      </c>
      <c r="I38" s="99">
        <f>ROUND(G38*H38,2)</f>
        <v>5546.8</v>
      </c>
    </row>
    <row r="39" spans="1:35" s="5" customFormat="1"/>
    <row r="40" spans="1:35" s="5" customFormat="1"/>
    <row r="41" spans="1:35" s="5" customFormat="1"/>
    <row r="42" spans="1:35" s="5" customFormat="1"/>
    <row r="43" spans="1:35" s="5" customFormat="1"/>
    <row r="44" spans="1:35" s="5" customFormat="1"/>
    <row r="45" spans="1:35" s="5" customFormat="1"/>
    <row r="46" spans="1:35" s="5" customFormat="1"/>
    <row r="47" spans="1:35" s="5" customFormat="1"/>
    <row r="48" spans="1:35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pans="10:21" s="5" customFormat="1"/>
    <row r="114" spans="10:21" s="5" customFormat="1"/>
    <row r="115" spans="10:21" s="5" customFormat="1"/>
    <row r="116" spans="10:21" s="5" customFormat="1"/>
    <row r="117" spans="10:21" s="5" customFormat="1"/>
    <row r="118" spans="10:21" s="5" customFormat="1"/>
    <row r="119" spans="10:21" s="5" customFormat="1"/>
    <row r="120" spans="10:21" s="5" customFormat="1"/>
    <row r="121" spans="10:21" s="5" customFormat="1"/>
    <row r="122" spans="10:21" s="5" customFormat="1"/>
    <row r="123" spans="10:21" s="5" customFormat="1"/>
    <row r="124" spans="10:21" s="5" customFormat="1"/>
    <row r="125" spans="10:21" s="5" customFormat="1"/>
    <row r="126" spans="10:21" s="5" customFormat="1"/>
    <row r="127" spans="10:21" s="5" customFormat="1"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10:21" s="5" customFormat="1"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10:21" s="5" customFormat="1"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0:21" s="5" customFormat="1"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0:21" s="5" customFormat="1"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0:21" s="5" customFormat="1"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0:21" s="5" customFormat="1"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10:21" s="5" customFormat="1"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10:21" s="5" customFormat="1"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10:21" s="5" customFormat="1"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0:21" s="5" customFormat="1"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0:21" s="5" customFormat="1"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spans="10:21" s="5" customFormat="1"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spans="10:21" s="5" customFormat="1"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spans="10:21" s="5" customFormat="1"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10:21" s="5" customFormat="1"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spans="10:21" s="5" customFormat="1"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10:21" s="5" customFormat="1"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10:21" s="5" customFormat="1"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0:21" s="5" customFormat="1"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0:21" s="5" customFormat="1"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0:21" s="5" customFormat="1"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0:21" s="5" customFormat="1"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0:21" s="5" customFormat="1"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0:21" s="5" customFormat="1"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0:21" s="5" customFormat="1"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0:21" s="5" customFormat="1"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0:21" s="5" customFormat="1"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0:21" s="5" customFormat="1"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0:21" s="5" customFormat="1"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0:21" s="5" customFormat="1"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0:21" s="5" customFormat="1"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0:21" s="5" customFormat="1"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0:21" s="5" customFormat="1"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0:21" s="5" customFormat="1"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0:21" s="5" customFormat="1"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10:21" s="5" customFormat="1"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10:21" s="5" customFormat="1"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10:21" s="5" customFormat="1"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</row>
    <row r="166" spans="10:21" s="5" customFormat="1"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</row>
    <row r="167" spans="10:21" s="5" customFormat="1"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</row>
    <row r="168" spans="10:21" s="5" customFormat="1"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</row>
    <row r="169" spans="10:21" s="5" customFormat="1"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</row>
    <row r="170" spans="10:21" s="5" customFormat="1"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</row>
    <row r="171" spans="10:21" s="5" customFormat="1"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</row>
    <row r="172" spans="10:21" s="5" customFormat="1"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</row>
    <row r="173" spans="10:21" s="5" customFormat="1"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</row>
    <row r="174" spans="10:21" s="5" customFormat="1"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</row>
    <row r="175" spans="10:21" s="5" customFormat="1"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</row>
    <row r="176" spans="10:21" s="5" customFormat="1"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</row>
    <row r="177" spans="10:21" s="5" customFormat="1"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</row>
    <row r="178" spans="10:21" s="5" customFormat="1"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</row>
    <row r="179" spans="10:21" s="5" customFormat="1"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</row>
    <row r="180" spans="10:21" s="5" customFormat="1"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</row>
    <row r="181" spans="10:21" s="5" customFormat="1"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</row>
    <row r="182" spans="10:21" s="5" customFormat="1"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</row>
    <row r="183" spans="10:21" s="5" customFormat="1"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</row>
    <row r="184" spans="10:21" s="5" customFormat="1"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</row>
    <row r="185" spans="10:21" s="5" customFormat="1"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</row>
    <row r="186" spans="10:21" s="5" customFormat="1"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</row>
    <row r="187" spans="10:21" s="5" customFormat="1"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</row>
    <row r="188" spans="10:21" s="5" customFormat="1"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</row>
    <row r="189" spans="10:21" s="5" customFormat="1"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spans="10:21" s="5" customFormat="1"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spans="10:21" s="5" customFormat="1"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10:21" s="5" customFormat="1"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10:21" s="5" customFormat="1"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10:21" s="5" customFormat="1"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10:21" s="5" customFormat="1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10:21" s="5" customFormat="1"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10:21" s="5" customFormat="1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10:21" s="5" customFormat="1"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10:21" s="5" customFormat="1"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10:21" s="5" customFormat="1"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10:21" s="5" customFormat="1"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10:21" s="5" customFormat="1"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10:21" s="5" customFormat="1"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10:21" s="5" customFormat="1"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10:21" s="5" customFormat="1"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10:21" s="5" customFormat="1"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10:21" s="5" customFormat="1"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0:21" s="5" customFormat="1"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10:21" s="5" customFormat="1"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10:21" s="5" customFormat="1"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0:21" s="5" customFormat="1"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0:21" s="5" customFormat="1"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0:21" s="5" customFormat="1"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0:21" s="5" customFormat="1"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10:21" s="5" customFormat="1"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10:21" s="5" customFormat="1"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10:21" s="5" customFormat="1"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10:21" s="5" customFormat="1"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10:21" s="5" customFormat="1"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10:21" s="5" customFormat="1"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</row>
    <row r="221" spans="10:21" s="5" customFormat="1"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</row>
    <row r="222" spans="10:21" s="5" customFormat="1"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</row>
    <row r="223" spans="10:21" s="5" customFormat="1"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</row>
    <row r="224" spans="10:21" s="5" customFormat="1"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</row>
    <row r="225" spans="10:21" s="5" customFormat="1"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</row>
    <row r="226" spans="10:21" s="5" customFormat="1"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</row>
    <row r="227" spans="10:21" s="5" customFormat="1"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</row>
    <row r="228" spans="10:21" s="5" customFormat="1"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</row>
    <row r="229" spans="10:21" s="5" customFormat="1"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</row>
    <row r="230" spans="10:21" s="5" customFormat="1"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</row>
    <row r="231" spans="10:21" s="5" customFormat="1"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</row>
    <row r="232" spans="10:21" s="5" customFormat="1"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0:21" s="5" customFormat="1"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</row>
    <row r="234" spans="10:21" s="5" customFormat="1"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</row>
    <row r="235" spans="10:21" s="5" customFormat="1"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0:21" s="5" customFormat="1"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0:21" s="5" customFormat="1"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</row>
    <row r="238" spans="10:21" s="5" customFormat="1"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</row>
    <row r="239" spans="10:21" s="5" customFormat="1"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</row>
    <row r="240" spans="10:21" s="5" customFormat="1"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</row>
    <row r="241" spans="10:21" s="5" customFormat="1"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</row>
    <row r="242" spans="10:21" s="5" customFormat="1"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</row>
    <row r="243" spans="10:21" s="5" customFormat="1"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</row>
    <row r="244" spans="10:21" s="5" customFormat="1"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</row>
    <row r="245" spans="10:21" s="5" customFormat="1"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</row>
    <row r="246" spans="10:21" s="5" customFormat="1"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</row>
    <row r="247" spans="10:21" s="5" customFormat="1"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</row>
    <row r="248" spans="10:21" s="5" customFormat="1"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</row>
    <row r="249" spans="10:21" s="5" customFormat="1"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</row>
    <row r="250" spans="10:21" s="5" customFormat="1"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</row>
    <row r="251" spans="10:21" s="5" customFormat="1"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</row>
    <row r="252" spans="10:21" s="5" customFormat="1"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</row>
    <row r="253" spans="10:21" s="5" customFormat="1">
      <c r="T253" s="8"/>
      <c r="U253" s="8"/>
    </row>
    <row r="254" spans="10:21" s="5" customFormat="1">
      <c r="T254" s="8"/>
      <c r="U254" s="8"/>
    </row>
    <row r="255" spans="10:21" s="5" customFormat="1">
      <c r="T255" s="8"/>
      <c r="U255" s="8"/>
    </row>
    <row r="256" spans="10:21" s="5" customFormat="1">
      <c r="T256" s="8"/>
      <c r="U256" s="8"/>
    </row>
    <row r="257" spans="10:21" s="5" customFormat="1">
      <c r="T257" s="8"/>
      <c r="U257" s="8"/>
    </row>
    <row r="258" spans="10:21" s="5" customFormat="1">
      <c r="T258" s="8"/>
      <c r="U258" s="8"/>
    </row>
    <row r="259" spans="10:21" s="5" customFormat="1"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</row>
    <row r="260" spans="10:21" s="5" customFormat="1">
      <c r="T260" s="8"/>
      <c r="U260" s="8"/>
    </row>
    <row r="261" spans="10:21" s="5" customFormat="1">
      <c r="T261" s="8"/>
      <c r="U261" s="8"/>
    </row>
    <row r="262" spans="10:21" s="5" customFormat="1">
      <c r="T262" s="8"/>
      <c r="U262" s="8"/>
    </row>
    <row r="263" spans="10:21" s="5" customFormat="1">
      <c r="T263" s="8"/>
      <c r="U263" s="8"/>
    </row>
    <row r="264" spans="10:21" s="5" customFormat="1">
      <c r="T264" s="8"/>
      <c r="U264" s="8"/>
    </row>
    <row r="265" spans="10:21" s="5" customFormat="1">
      <c r="T265" s="8"/>
      <c r="U265" s="8"/>
    </row>
    <row r="266" spans="10:21" s="5" customFormat="1">
      <c r="T266" s="8"/>
      <c r="U266" s="8"/>
    </row>
    <row r="267" spans="10:21" s="5" customFormat="1">
      <c r="T267" s="8"/>
      <c r="U267" s="8"/>
    </row>
    <row r="268" spans="10:21" s="5" customFormat="1">
      <c r="T268" s="8"/>
      <c r="U268" s="8"/>
    </row>
    <row r="269" spans="10:21" s="5" customFormat="1">
      <c r="T269" s="8"/>
      <c r="U269" s="8"/>
    </row>
    <row r="270" spans="10:21" s="5" customFormat="1">
      <c r="T270" s="8"/>
      <c r="U270" s="8"/>
    </row>
    <row r="271" spans="10:21" s="5" customFormat="1">
      <c r="T271" s="8"/>
      <c r="U271" s="8"/>
    </row>
    <row r="272" spans="10:21" s="5" customFormat="1">
      <c r="T272" s="8"/>
      <c r="U272" s="8"/>
    </row>
    <row r="273" spans="20:21" s="5" customFormat="1">
      <c r="T273" s="8"/>
      <c r="U273" s="8"/>
    </row>
    <row r="274" spans="20:21" s="5" customFormat="1">
      <c r="T274" s="8"/>
      <c r="U274" s="8"/>
    </row>
    <row r="275" spans="20:21" s="5" customFormat="1">
      <c r="T275" s="8"/>
      <c r="U275" s="8"/>
    </row>
    <row r="276" spans="20:21" s="5" customFormat="1">
      <c r="T276" s="8"/>
      <c r="U276" s="8"/>
    </row>
    <row r="277" spans="20:21" s="5" customFormat="1">
      <c r="T277" s="8"/>
      <c r="U277" s="8"/>
    </row>
    <row r="278" spans="20:21" s="5" customFormat="1">
      <c r="T278" s="8"/>
      <c r="U278" s="8"/>
    </row>
    <row r="279" spans="20:21" s="5" customFormat="1">
      <c r="T279" s="8"/>
      <c r="U279" s="8"/>
    </row>
    <row r="280" spans="20:21" s="5" customFormat="1">
      <c r="T280" s="8"/>
      <c r="U280" s="8"/>
    </row>
    <row r="281" spans="20:21" s="5" customFormat="1">
      <c r="T281" s="8"/>
      <c r="U281" s="8"/>
    </row>
    <row r="282" spans="20:21" s="5" customFormat="1">
      <c r="T282" s="8"/>
      <c r="U282" s="8"/>
    </row>
    <row r="283" spans="20:21" s="5" customFormat="1">
      <c r="T283" s="8"/>
      <c r="U283" s="8"/>
    </row>
    <row r="284" spans="20:21" s="5" customFormat="1">
      <c r="T284" s="8"/>
      <c r="U284" s="8"/>
    </row>
    <row r="285" spans="20:21" s="5" customFormat="1">
      <c r="T285" s="8"/>
      <c r="U285" s="8"/>
    </row>
    <row r="286" spans="20:21" s="5" customFormat="1">
      <c r="T286" s="8"/>
      <c r="U286" s="8"/>
    </row>
    <row r="287" spans="20:21" s="5" customFormat="1">
      <c r="T287" s="8"/>
      <c r="U287" s="8"/>
    </row>
    <row r="288" spans="20:21" s="5" customFormat="1">
      <c r="T288" s="8"/>
      <c r="U288" s="8"/>
    </row>
    <row r="289" spans="20:21" s="5" customFormat="1">
      <c r="T289" s="8"/>
      <c r="U289" s="8"/>
    </row>
    <row r="290" spans="20:21" s="5" customFormat="1">
      <c r="T290" s="8"/>
      <c r="U290" s="8"/>
    </row>
    <row r="291" spans="20:21" s="5" customFormat="1">
      <c r="T291" s="8"/>
      <c r="U291" s="8"/>
    </row>
    <row r="292" spans="20:21" s="5" customFormat="1">
      <c r="T292" s="8"/>
      <c r="U292" s="8"/>
    </row>
    <row r="293" spans="20:21" s="5" customFormat="1">
      <c r="T293" s="8"/>
      <c r="U293" s="8"/>
    </row>
    <row r="294" spans="20:21" s="5" customFormat="1">
      <c r="T294" s="8"/>
      <c r="U294" s="8"/>
    </row>
    <row r="295" spans="20:21" s="5" customFormat="1">
      <c r="T295" s="8"/>
      <c r="U295" s="8"/>
    </row>
    <row r="296" spans="20:21" s="5" customFormat="1">
      <c r="T296" s="8"/>
      <c r="U296" s="8"/>
    </row>
    <row r="297" spans="20:21" s="5" customFormat="1">
      <c r="T297" s="8"/>
      <c r="U297" s="8"/>
    </row>
    <row r="298" spans="20:21" s="5" customFormat="1">
      <c r="T298" s="8"/>
      <c r="U298" s="8"/>
    </row>
    <row r="299" spans="20:21" s="5" customFormat="1">
      <c r="T299" s="8"/>
      <c r="U299" s="8"/>
    </row>
    <row r="300" spans="20:21" s="5" customFormat="1">
      <c r="T300" s="8"/>
      <c r="U300" s="8"/>
    </row>
    <row r="301" spans="20:21" s="5" customFormat="1">
      <c r="T301" s="8"/>
      <c r="U301" s="8"/>
    </row>
    <row r="302" spans="20:21" s="5" customFormat="1">
      <c r="T302" s="8"/>
      <c r="U302" s="8"/>
    </row>
    <row r="303" spans="20:21" s="5" customFormat="1">
      <c r="T303" s="8"/>
      <c r="U303" s="8"/>
    </row>
    <row r="304" spans="20:21" s="5" customFormat="1">
      <c r="T304" s="8"/>
      <c r="U304" s="8"/>
    </row>
    <row r="305" spans="20:21" s="5" customFormat="1">
      <c r="T305" s="8"/>
      <c r="U305" s="8"/>
    </row>
    <row r="306" spans="20:21" s="5" customFormat="1">
      <c r="T306" s="8"/>
      <c r="U306" s="8"/>
    </row>
    <row r="307" spans="20:21" s="5" customFormat="1">
      <c r="T307" s="8"/>
      <c r="U307" s="8"/>
    </row>
    <row r="308" spans="20:21" s="5" customFormat="1">
      <c r="T308" s="8"/>
      <c r="U308" s="8"/>
    </row>
    <row r="309" spans="20:21" s="5" customFormat="1">
      <c r="T309" s="8"/>
      <c r="U309" s="8"/>
    </row>
    <row r="310" spans="20:21" s="5" customFormat="1">
      <c r="T310" s="8"/>
      <c r="U310" s="8"/>
    </row>
    <row r="311" spans="20:21" s="5" customFormat="1">
      <c r="T311" s="8"/>
      <c r="U311" s="8"/>
    </row>
    <row r="312" spans="20:21" s="5" customFormat="1">
      <c r="T312" s="8"/>
      <c r="U312" s="8"/>
    </row>
    <row r="313" spans="20:21" s="5" customFormat="1">
      <c r="T313" s="8"/>
      <c r="U313" s="8"/>
    </row>
    <row r="314" spans="20:21" s="5" customFormat="1">
      <c r="T314" s="8"/>
      <c r="U314" s="8"/>
    </row>
    <row r="315" spans="20:21" s="5" customFormat="1">
      <c r="T315" s="8"/>
      <c r="U315" s="8"/>
    </row>
    <row r="316" spans="20:21" s="5" customFormat="1">
      <c r="T316" s="8"/>
      <c r="U316" s="8"/>
    </row>
    <row r="317" spans="20:21" s="5" customFormat="1">
      <c r="T317" s="8"/>
      <c r="U317" s="8"/>
    </row>
    <row r="318" spans="20:21" s="5" customFormat="1">
      <c r="T318" s="8"/>
      <c r="U318" s="8"/>
    </row>
    <row r="319" spans="20:21" s="5" customFormat="1">
      <c r="T319" s="8"/>
      <c r="U319" s="8"/>
    </row>
    <row r="320" spans="20:21" s="5" customFormat="1">
      <c r="T320" s="8"/>
      <c r="U320" s="8"/>
    </row>
    <row r="321" spans="20:21" s="5" customFormat="1">
      <c r="T321" s="8"/>
      <c r="U321" s="8"/>
    </row>
    <row r="322" spans="20:21" s="5" customFormat="1">
      <c r="T322" s="8"/>
      <c r="U322" s="8"/>
    </row>
    <row r="323" spans="20:21" s="5" customFormat="1">
      <c r="T323" s="8"/>
      <c r="U323" s="8"/>
    </row>
    <row r="324" spans="20:21" s="5" customFormat="1">
      <c r="T324" s="8"/>
      <c r="U324" s="8"/>
    </row>
    <row r="325" spans="20:21" s="5" customFormat="1">
      <c r="T325" s="8"/>
      <c r="U325" s="8"/>
    </row>
    <row r="326" spans="20:21" s="5" customFormat="1">
      <c r="T326" s="8"/>
      <c r="U326" s="8"/>
    </row>
    <row r="327" spans="20:21" s="5" customFormat="1">
      <c r="T327" s="8"/>
      <c r="U327" s="8"/>
    </row>
    <row r="328" spans="20:21" s="5" customFormat="1">
      <c r="T328" s="8"/>
      <c r="U328" s="8"/>
    </row>
    <row r="329" spans="20:21" s="5" customFormat="1">
      <c r="T329" s="8"/>
      <c r="U329" s="8"/>
    </row>
    <row r="330" spans="20:21" s="5" customFormat="1">
      <c r="T330" s="8"/>
      <c r="U330" s="8"/>
    </row>
    <row r="331" spans="20:21" s="5" customFormat="1">
      <c r="T331" s="8"/>
      <c r="U331" s="8"/>
    </row>
    <row r="332" spans="20:21" s="5" customFormat="1">
      <c r="T332" s="8"/>
      <c r="U332" s="8"/>
    </row>
    <row r="333" spans="20:21" s="5" customFormat="1">
      <c r="T333" s="8"/>
      <c r="U333" s="8"/>
    </row>
    <row r="334" spans="20:21" s="5" customFormat="1">
      <c r="T334" s="8"/>
      <c r="U334" s="8"/>
    </row>
    <row r="335" spans="20:21" s="5" customFormat="1">
      <c r="T335" s="8"/>
      <c r="U335" s="8"/>
    </row>
    <row r="336" spans="20:21" s="5" customFormat="1">
      <c r="T336" s="8"/>
      <c r="U336" s="8"/>
    </row>
    <row r="337" spans="20:21" s="5" customFormat="1">
      <c r="T337" s="8"/>
      <c r="U337" s="8"/>
    </row>
    <row r="338" spans="20:21" s="5" customFormat="1">
      <c r="T338" s="8"/>
      <c r="U338" s="8"/>
    </row>
    <row r="339" spans="20:21" s="5" customFormat="1">
      <c r="T339" s="8"/>
      <c r="U339" s="8"/>
    </row>
    <row r="340" spans="20:21" s="5" customFormat="1">
      <c r="T340" s="8"/>
      <c r="U340" s="8"/>
    </row>
    <row r="341" spans="20:21" s="5" customFormat="1">
      <c r="T341" s="8"/>
      <c r="U341" s="8"/>
    </row>
    <row r="342" spans="20:21" s="5" customFormat="1">
      <c r="T342" s="8"/>
      <c r="U342" s="8"/>
    </row>
    <row r="343" spans="20:21" s="5" customFormat="1">
      <c r="T343" s="8"/>
      <c r="U343" s="8"/>
    </row>
    <row r="344" spans="20:21" s="5" customFormat="1">
      <c r="T344" s="8"/>
      <c r="U344" s="8"/>
    </row>
    <row r="345" spans="20:21" s="5" customFormat="1">
      <c r="T345" s="8"/>
      <c r="U345" s="8"/>
    </row>
    <row r="346" spans="20:21" s="5" customFormat="1">
      <c r="T346" s="8"/>
      <c r="U346" s="8"/>
    </row>
    <row r="347" spans="20:21" s="5" customFormat="1">
      <c r="T347" s="8"/>
      <c r="U347" s="8"/>
    </row>
    <row r="348" spans="20:21" s="5" customFormat="1">
      <c r="T348" s="8"/>
      <c r="U348" s="8"/>
    </row>
    <row r="349" spans="20:21" s="5" customFormat="1">
      <c r="T349" s="8"/>
      <c r="U349" s="8"/>
    </row>
    <row r="350" spans="20:21" s="5" customFormat="1">
      <c r="T350" s="8"/>
      <c r="U350" s="8"/>
    </row>
    <row r="351" spans="20:21" s="5" customFormat="1">
      <c r="T351" s="8"/>
      <c r="U351" s="8"/>
    </row>
    <row r="352" spans="20:21" s="5" customFormat="1">
      <c r="T352" s="8"/>
      <c r="U352" s="8"/>
    </row>
    <row r="353" spans="20:21" s="5" customFormat="1">
      <c r="T353" s="8"/>
      <c r="U353" s="8"/>
    </row>
    <row r="354" spans="20:21" s="5" customFormat="1">
      <c r="T354" s="8"/>
      <c r="U354" s="8"/>
    </row>
    <row r="355" spans="20:21" s="5" customFormat="1">
      <c r="T355" s="8"/>
      <c r="U355" s="8"/>
    </row>
    <row r="356" spans="20:21" s="5" customFormat="1">
      <c r="T356" s="8"/>
      <c r="U356" s="8"/>
    </row>
    <row r="357" spans="20:21" s="5" customFormat="1">
      <c r="T357" s="8"/>
      <c r="U357" s="8"/>
    </row>
    <row r="358" spans="20:21" s="5" customFormat="1">
      <c r="T358" s="8"/>
      <c r="U358" s="8"/>
    </row>
    <row r="359" spans="20:21" s="5" customFormat="1">
      <c r="T359" s="8"/>
      <c r="U359" s="8"/>
    </row>
    <row r="360" spans="20:21" s="5" customFormat="1">
      <c r="T360" s="8"/>
      <c r="U360" s="8"/>
    </row>
    <row r="361" spans="20:21" s="5" customFormat="1">
      <c r="T361" s="8"/>
      <c r="U361" s="8"/>
    </row>
    <row r="362" spans="20:21" s="5" customFormat="1">
      <c r="T362" s="8"/>
      <c r="U362" s="8"/>
    </row>
    <row r="363" spans="20:21" s="5" customFormat="1">
      <c r="T363" s="8"/>
      <c r="U363" s="8"/>
    </row>
    <row r="364" spans="20:21" s="5" customFormat="1">
      <c r="T364" s="8"/>
      <c r="U364" s="8"/>
    </row>
    <row r="365" spans="20:21" s="5" customFormat="1">
      <c r="T365" s="8"/>
      <c r="U365" s="8"/>
    </row>
    <row r="366" spans="20:21" s="5" customFormat="1">
      <c r="T366" s="8"/>
      <c r="U366" s="8"/>
    </row>
    <row r="367" spans="20:21" s="5" customFormat="1">
      <c r="T367" s="8"/>
      <c r="U367" s="8"/>
    </row>
    <row r="368" spans="20:21" s="5" customFormat="1">
      <c r="T368" s="8"/>
      <c r="U368" s="8"/>
    </row>
    <row r="369" spans="20:21" s="5" customFormat="1">
      <c r="T369" s="8"/>
      <c r="U369" s="8"/>
    </row>
    <row r="370" spans="20:21" s="5" customFormat="1">
      <c r="T370" s="8"/>
      <c r="U370" s="8"/>
    </row>
    <row r="371" spans="20:21" s="5" customFormat="1">
      <c r="T371" s="8"/>
      <c r="U371" s="8"/>
    </row>
    <row r="372" spans="20:21" s="5" customFormat="1">
      <c r="T372" s="8"/>
      <c r="U372" s="8"/>
    </row>
    <row r="373" spans="20:21" s="5" customFormat="1">
      <c r="T373" s="8"/>
      <c r="U373" s="8"/>
    </row>
    <row r="374" spans="20:21" s="5" customFormat="1">
      <c r="T374" s="8"/>
      <c r="U374" s="8"/>
    </row>
    <row r="375" spans="20:21" s="5" customFormat="1">
      <c r="T375" s="8"/>
      <c r="U375" s="8"/>
    </row>
    <row r="376" spans="20:21" s="5" customFormat="1">
      <c r="T376" s="8"/>
      <c r="U376" s="8"/>
    </row>
    <row r="377" spans="20:21" s="5" customFormat="1">
      <c r="T377" s="8"/>
      <c r="U377" s="8"/>
    </row>
    <row r="378" spans="20:21" s="5" customFormat="1">
      <c r="T378" s="8"/>
      <c r="U378" s="8"/>
    </row>
    <row r="379" spans="20:21" s="5" customFormat="1">
      <c r="T379" s="8"/>
      <c r="U379" s="8"/>
    </row>
    <row r="380" spans="20:21" s="5" customFormat="1">
      <c r="T380" s="8"/>
      <c r="U380" s="8"/>
    </row>
    <row r="381" spans="20:21" s="5" customFormat="1">
      <c r="T381" s="8"/>
      <c r="U381" s="8"/>
    </row>
    <row r="382" spans="20:21" s="5" customFormat="1">
      <c r="T382" s="8"/>
      <c r="U382" s="8"/>
    </row>
    <row r="383" spans="20:21" s="5" customFormat="1">
      <c r="T383" s="8"/>
      <c r="U383" s="8"/>
    </row>
    <row r="384" spans="20:21" s="5" customFormat="1">
      <c r="T384" s="8"/>
      <c r="U384" s="8"/>
    </row>
    <row r="385" spans="20:21" s="5" customFormat="1">
      <c r="T385" s="8"/>
      <c r="U385" s="8"/>
    </row>
    <row r="386" spans="20:21" s="5" customFormat="1">
      <c r="T386" s="8"/>
      <c r="U386" s="8"/>
    </row>
    <row r="387" spans="20:21" s="5" customFormat="1">
      <c r="T387" s="8"/>
      <c r="U387" s="8"/>
    </row>
    <row r="388" spans="20:21" s="5" customFormat="1">
      <c r="T388" s="8"/>
      <c r="U388" s="8"/>
    </row>
    <row r="389" spans="20:21" s="5" customFormat="1">
      <c r="T389" s="8"/>
      <c r="U389" s="8"/>
    </row>
    <row r="390" spans="20:21" s="5" customFormat="1">
      <c r="T390" s="8"/>
      <c r="U390" s="8"/>
    </row>
    <row r="391" spans="20:21" s="5" customFormat="1">
      <c r="T391" s="8"/>
      <c r="U391" s="8"/>
    </row>
    <row r="392" spans="20:21" s="5" customFormat="1">
      <c r="T392" s="8"/>
      <c r="U392" s="8"/>
    </row>
    <row r="393" spans="20:21" s="5" customFormat="1">
      <c r="T393" s="8"/>
      <c r="U393" s="8"/>
    </row>
    <row r="394" spans="20:21" s="5" customFormat="1">
      <c r="T394" s="8"/>
      <c r="U394" s="8"/>
    </row>
    <row r="395" spans="20:21" s="5" customFormat="1">
      <c r="T395" s="8"/>
      <c r="U395" s="8"/>
    </row>
    <row r="396" spans="20:21" s="5" customFormat="1">
      <c r="T396" s="8"/>
      <c r="U396" s="8"/>
    </row>
    <row r="397" spans="20:21" s="5" customFormat="1">
      <c r="T397" s="8"/>
      <c r="U397" s="8"/>
    </row>
    <row r="398" spans="20:21" s="5" customFormat="1">
      <c r="T398" s="8"/>
      <c r="U398" s="8"/>
    </row>
    <row r="399" spans="20:21" s="5" customFormat="1">
      <c r="T399" s="8"/>
      <c r="U399" s="8"/>
    </row>
    <row r="400" spans="20:21" s="5" customFormat="1">
      <c r="T400" s="8"/>
      <c r="U400" s="8"/>
    </row>
    <row r="401" spans="20:21" s="5" customFormat="1">
      <c r="T401" s="8"/>
      <c r="U401" s="8"/>
    </row>
    <row r="402" spans="20:21" s="5" customFormat="1">
      <c r="T402" s="8"/>
      <c r="U402" s="8"/>
    </row>
    <row r="403" spans="20:21" s="5" customFormat="1">
      <c r="T403" s="8"/>
      <c r="U403" s="8"/>
    </row>
    <row r="404" spans="20:21" s="5" customFormat="1">
      <c r="T404" s="8"/>
      <c r="U404" s="8"/>
    </row>
    <row r="405" spans="20:21" s="5" customFormat="1">
      <c r="T405" s="8"/>
      <c r="U405" s="8"/>
    </row>
    <row r="406" spans="20:21" s="5" customFormat="1">
      <c r="T406" s="8"/>
      <c r="U406" s="8"/>
    </row>
    <row r="407" spans="20:21" s="5" customFormat="1">
      <c r="T407" s="8"/>
      <c r="U407" s="8"/>
    </row>
    <row r="408" spans="20:21" s="5" customFormat="1">
      <c r="T408" s="8"/>
      <c r="U408" s="8"/>
    </row>
    <row r="409" spans="20:21" s="5" customFormat="1">
      <c r="T409" s="8"/>
      <c r="U409" s="8"/>
    </row>
    <row r="410" spans="20:21" s="5" customFormat="1">
      <c r="T410" s="8"/>
      <c r="U410" s="8"/>
    </row>
    <row r="411" spans="20:21" s="5" customFormat="1">
      <c r="T411" s="8"/>
      <c r="U411" s="8"/>
    </row>
    <row r="412" spans="20:21" s="5" customFormat="1">
      <c r="T412" s="8"/>
      <c r="U412" s="8"/>
    </row>
    <row r="413" spans="20:21" s="5" customFormat="1">
      <c r="T413" s="8"/>
      <c r="U413" s="8"/>
    </row>
    <row r="414" spans="20:21" s="5" customFormat="1">
      <c r="T414" s="8"/>
      <c r="U414" s="8"/>
    </row>
    <row r="415" spans="20:21" s="5" customFormat="1">
      <c r="T415" s="8"/>
      <c r="U415" s="8"/>
    </row>
    <row r="416" spans="20:21" s="5" customFormat="1">
      <c r="T416" s="8"/>
      <c r="U416" s="8"/>
    </row>
    <row r="417" spans="20:21" s="5" customFormat="1">
      <c r="T417" s="8"/>
      <c r="U417" s="8"/>
    </row>
    <row r="418" spans="20:21" s="5" customFormat="1">
      <c r="T418" s="8"/>
      <c r="U418" s="8"/>
    </row>
    <row r="419" spans="20:21" s="5" customFormat="1">
      <c r="T419" s="8"/>
      <c r="U419" s="8"/>
    </row>
    <row r="420" spans="20:21" s="5" customFormat="1">
      <c r="T420" s="8"/>
      <c r="U420" s="8"/>
    </row>
    <row r="421" spans="20:21" s="5" customFormat="1">
      <c r="T421" s="8"/>
      <c r="U421" s="8"/>
    </row>
    <row r="422" spans="20:21" s="5" customFormat="1">
      <c r="T422" s="8"/>
      <c r="U422" s="8"/>
    </row>
    <row r="423" spans="20:21" s="5" customFormat="1">
      <c r="T423" s="8"/>
      <c r="U423" s="8"/>
    </row>
    <row r="424" spans="20:21" s="5" customFormat="1">
      <c r="T424" s="8"/>
      <c r="U424" s="8"/>
    </row>
    <row r="425" spans="20:21" s="5" customFormat="1">
      <c r="T425" s="8"/>
      <c r="U425" s="8"/>
    </row>
    <row r="426" spans="20:21" s="5" customFormat="1">
      <c r="T426" s="8"/>
      <c r="U426" s="8"/>
    </row>
    <row r="427" spans="20:21" s="5" customFormat="1">
      <c r="T427" s="8"/>
      <c r="U427" s="8"/>
    </row>
    <row r="428" spans="20:21" s="5" customFormat="1">
      <c r="T428" s="8"/>
      <c r="U428" s="8"/>
    </row>
    <row r="429" spans="20:21" s="5" customFormat="1">
      <c r="T429" s="8"/>
      <c r="U429" s="8"/>
    </row>
    <row r="430" spans="20:21" s="5" customFormat="1">
      <c r="T430" s="8"/>
      <c r="U430" s="8"/>
    </row>
    <row r="431" spans="20:21" s="5" customFormat="1">
      <c r="T431" s="8"/>
      <c r="U431" s="8"/>
    </row>
    <row r="432" spans="20:21" s="5" customFormat="1">
      <c r="T432" s="8"/>
      <c r="U432" s="8"/>
    </row>
    <row r="433" spans="20:21" s="5" customFormat="1">
      <c r="T433" s="8"/>
      <c r="U433" s="8"/>
    </row>
    <row r="434" spans="20:21" s="5" customFormat="1">
      <c r="T434" s="8"/>
      <c r="U434" s="8"/>
    </row>
    <row r="435" spans="20:21" s="5" customFormat="1">
      <c r="T435" s="8"/>
      <c r="U435" s="8"/>
    </row>
    <row r="436" spans="20:21" s="5" customFormat="1">
      <c r="T436" s="8"/>
      <c r="U436" s="8"/>
    </row>
    <row r="437" spans="20:21" s="5" customFormat="1">
      <c r="T437" s="8"/>
      <c r="U437" s="8"/>
    </row>
    <row r="438" spans="20:21" s="5" customFormat="1">
      <c r="T438" s="8"/>
      <c r="U438" s="8"/>
    </row>
    <row r="439" spans="20:21" s="5" customFormat="1">
      <c r="T439" s="8"/>
      <c r="U439" s="8"/>
    </row>
    <row r="440" spans="20:21" s="5" customFormat="1">
      <c r="T440" s="8"/>
      <c r="U440" s="8"/>
    </row>
    <row r="441" spans="20:21" s="5" customFormat="1">
      <c r="T441" s="8"/>
      <c r="U441" s="8"/>
    </row>
    <row r="442" spans="20:21" s="5" customFormat="1">
      <c r="T442" s="8"/>
      <c r="U442" s="8"/>
    </row>
    <row r="443" spans="20:21" s="5" customFormat="1">
      <c r="T443" s="8"/>
      <c r="U443" s="8"/>
    </row>
    <row r="444" spans="20:21" s="5" customFormat="1">
      <c r="T444" s="8"/>
      <c r="U444" s="8"/>
    </row>
    <row r="445" spans="20:21" s="5" customFormat="1">
      <c r="T445" s="8"/>
      <c r="U445" s="8"/>
    </row>
    <row r="446" spans="20:21" s="5" customFormat="1">
      <c r="T446" s="8"/>
      <c r="U446" s="8"/>
    </row>
    <row r="447" spans="20:21" s="5" customFormat="1">
      <c r="T447" s="8"/>
      <c r="U447" s="8"/>
    </row>
    <row r="448" spans="20:21" s="5" customFormat="1">
      <c r="T448" s="8"/>
      <c r="U448" s="8"/>
    </row>
    <row r="449" spans="20:21" s="5" customFormat="1">
      <c r="T449" s="8"/>
      <c r="U449" s="8"/>
    </row>
    <row r="450" spans="20:21" s="5" customFormat="1">
      <c r="T450" s="8"/>
      <c r="U450" s="8"/>
    </row>
    <row r="451" spans="20:21" s="5" customFormat="1">
      <c r="T451" s="8"/>
      <c r="U451" s="8"/>
    </row>
    <row r="452" spans="20:21" s="5" customFormat="1">
      <c r="T452" s="8"/>
      <c r="U452" s="8"/>
    </row>
    <row r="453" spans="20:21" s="5" customFormat="1">
      <c r="T453" s="8"/>
      <c r="U453" s="8"/>
    </row>
    <row r="454" spans="20:21" s="5" customFormat="1">
      <c r="T454" s="8"/>
      <c r="U454" s="8"/>
    </row>
    <row r="455" spans="20:21" s="5" customFormat="1">
      <c r="T455" s="8"/>
      <c r="U455" s="8"/>
    </row>
    <row r="456" spans="20:21" s="5" customFormat="1">
      <c r="T456" s="8"/>
      <c r="U456" s="8"/>
    </row>
    <row r="457" spans="20:21" s="5" customFormat="1">
      <c r="T457" s="8"/>
      <c r="U457" s="8"/>
    </row>
    <row r="458" spans="20:21" s="5" customFormat="1">
      <c r="T458" s="8"/>
      <c r="U458" s="8"/>
    </row>
    <row r="459" spans="20:21" s="5" customFormat="1">
      <c r="T459" s="8"/>
      <c r="U459" s="8"/>
    </row>
    <row r="460" spans="20:21" s="5" customFormat="1">
      <c r="T460" s="8"/>
      <c r="U460" s="8"/>
    </row>
    <row r="461" spans="20:21" s="5" customFormat="1">
      <c r="T461" s="8"/>
      <c r="U461" s="8"/>
    </row>
    <row r="462" spans="20:21" s="5" customFormat="1">
      <c r="T462" s="8"/>
      <c r="U462" s="8"/>
    </row>
    <row r="463" spans="20:21" s="5" customFormat="1">
      <c r="T463" s="8"/>
      <c r="U463" s="8"/>
    </row>
    <row r="464" spans="20:21" s="5" customFormat="1">
      <c r="T464" s="8"/>
      <c r="U464" s="8"/>
    </row>
    <row r="465" spans="20:21" s="5" customFormat="1">
      <c r="T465" s="8"/>
      <c r="U465" s="8"/>
    </row>
    <row r="466" spans="20:21" s="5" customFormat="1">
      <c r="T466" s="8"/>
      <c r="U466" s="8"/>
    </row>
    <row r="467" spans="20:21" s="5" customFormat="1">
      <c r="T467" s="8"/>
      <c r="U467" s="8"/>
    </row>
    <row r="468" spans="20:21" s="5" customFormat="1">
      <c r="T468" s="8"/>
      <c r="U468" s="8"/>
    </row>
    <row r="469" spans="20:21" s="5" customFormat="1">
      <c r="T469" s="8"/>
      <c r="U469" s="8"/>
    </row>
    <row r="470" spans="20:21" s="5" customFormat="1">
      <c r="T470" s="8"/>
      <c r="U470" s="8"/>
    </row>
    <row r="471" spans="20:21" s="5" customFormat="1">
      <c r="T471" s="8"/>
      <c r="U471" s="8"/>
    </row>
    <row r="472" spans="20:21" s="5" customFormat="1">
      <c r="T472" s="8"/>
      <c r="U472" s="8"/>
    </row>
    <row r="473" spans="20:21" s="5" customFormat="1">
      <c r="T473" s="8"/>
      <c r="U473" s="8"/>
    </row>
    <row r="474" spans="20:21" s="5" customFormat="1">
      <c r="T474" s="8"/>
      <c r="U474" s="8"/>
    </row>
    <row r="475" spans="20:21" s="5" customFormat="1">
      <c r="T475" s="8"/>
      <c r="U475" s="8"/>
    </row>
    <row r="476" spans="20:21" s="5" customFormat="1">
      <c r="T476" s="8"/>
      <c r="U476" s="8"/>
    </row>
    <row r="477" spans="20:21" s="5" customFormat="1">
      <c r="T477" s="8"/>
      <c r="U477" s="8"/>
    </row>
    <row r="478" spans="20:21" s="5" customFormat="1">
      <c r="T478" s="8"/>
      <c r="U478" s="8"/>
    </row>
    <row r="479" spans="20:21" s="5" customFormat="1">
      <c r="T479" s="8"/>
      <c r="U479" s="8"/>
    </row>
    <row r="480" spans="20:21" s="5" customFormat="1">
      <c r="T480" s="8"/>
      <c r="U480" s="8"/>
    </row>
    <row r="481" spans="20:21" s="5" customFormat="1">
      <c r="T481" s="8"/>
      <c r="U481" s="8"/>
    </row>
    <row r="482" spans="20:21" s="5" customFormat="1">
      <c r="T482" s="8"/>
      <c r="U482" s="8"/>
    </row>
    <row r="483" spans="20:21" s="5" customFormat="1">
      <c r="T483" s="8"/>
      <c r="U483" s="8"/>
    </row>
    <row r="484" spans="20:21" s="5" customFormat="1">
      <c r="T484" s="8"/>
      <c r="U484" s="8"/>
    </row>
    <row r="485" spans="20:21" s="5" customFormat="1">
      <c r="T485" s="8"/>
      <c r="U485" s="8"/>
    </row>
    <row r="486" spans="20:21" s="5" customFormat="1">
      <c r="T486" s="8"/>
      <c r="U486" s="8"/>
    </row>
    <row r="487" spans="20:21" s="5" customFormat="1">
      <c r="T487" s="8"/>
      <c r="U487" s="8"/>
    </row>
    <row r="488" spans="20:21" s="5" customFormat="1">
      <c r="T488" s="8"/>
      <c r="U488" s="8"/>
    </row>
    <row r="489" spans="20:21" s="5" customFormat="1">
      <c r="T489" s="8"/>
      <c r="U489" s="8"/>
    </row>
    <row r="490" spans="20:21" s="5" customFormat="1">
      <c r="T490" s="8"/>
      <c r="U490" s="8"/>
    </row>
    <row r="491" spans="20:21" s="5" customFormat="1">
      <c r="T491" s="8"/>
      <c r="U491" s="8"/>
    </row>
    <row r="492" spans="20:21" s="5" customFormat="1">
      <c r="T492" s="8"/>
      <c r="U492" s="8"/>
    </row>
    <row r="493" spans="20:21" s="5" customFormat="1">
      <c r="T493" s="8"/>
      <c r="U493" s="8"/>
    </row>
    <row r="494" spans="20:21" s="5" customFormat="1">
      <c r="T494" s="8"/>
      <c r="U494" s="8"/>
    </row>
    <row r="495" spans="20:21" s="5" customFormat="1">
      <c r="T495" s="8"/>
      <c r="U495" s="8"/>
    </row>
    <row r="496" spans="20:21" s="5" customFormat="1">
      <c r="T496" s="8"/>
      <c r="U496" s="8"/>
    </row>
    <row r="497" spans="20:21" s="5" customFormat="1">
      <c r="T497" s="8"/>
      <c r="U497" s="8"/>
    </row>
    <row r="498" spans="20:21" s="5" customFormat="1">
      <c r="T498" s="8"/>
      <c r="U498" s="8"/>
    </row>
    <row r="499" spans="20:21" s="5" customFormat="1">
      <c r="T499" s="8"/>
      <c r="U499" s="8"/>
    </row>
    <row r="500" spans="20:21" s="5" customFormat="1">
      <c r="T500" s="8"/>
      <c r="U500" s="8"/>
    </row>
    <row r="501" spans="20:21" s="5" customFormat="1">
      <c r="T501" s="8"/>
      <c r="U501" s="8"/>
    </row>
    <row r="502" spans="20:21" s="5" customFormat="1">
      <c r="T502" s="8"/>
      <c r="U502" s="8"/>
    </row>
    <row r="503" spans="20:21" s="5" customFormat="1">
      <c r="T503" s="8"/>
      <c r="U503" s="8"/>
    </row>
    <row r="504" spans="20:21" s="5" customFormat="1">
      <c r="T504" s="8"/>
      <c r="U504" s="8"/>
    </row>
    <row r="505" spans="20:21" s="5" customFormat="1">
      <c r="T505" s="8"/>
      <c r="U505" s="8"/>
    </row>
    <row r="506" spans="20:21" s="5" customFormat="1">
      <c r="T506" s="8"/>
      <c r="U506" s="8"/>
    </row>
    <row r="507" spans="20:21" s="5" customFormat="1">
      <c r="T507" s="8"/>
      <c r="U507" s="8"/>
    </row>
    <row r="508" spans="20:21" s="5" customFormat="1">
      <c r="T508" s="8"/>
      <c r="U508" s="8"/>
    </row>
    <row r="509" spans="20:21" s="5" customFormat="1">
      <c r="T509" s="8"/>
      <c r="U509" s="8"/>
    </row>
    <row r="510" spans="20:21" s="5" customFormat="1">
      <c r="T510" s="8"/>
      <c r="U510" s="8"/>
    </row>
    <row r="511" spans="20:21" s="5" customFormat="1">
      <c r="T511" s="8"/>
      <c r="U511" s="8"/>
    </row>
    <row r="512" spans="20:21" s="5" customFormat="1">
      <c r="T512" s="8"/>
      <c r="U512" s="8"/>
    </row>
    <row r="513" spans="10:21" s="5" customFormat="1">
      <c r="T513" s="8"/>
      <c r="U513" s="8"/>
    </row>
    <row r="514" spans="10:21" s="5" customFormat="1">
      <c r="T514" s="8"/>
      <c r="U514" s="8"/>
    </row>
    <row r="515" spans="10:21" s="5" customFormat="1">
      <c r="T515" s="8"/>
      <c r="U515" s="8"/>
    </row>
    <row r="516" spans="10:21" s="5" customFormat="1">
      <c r="T516" s="8"/>
      <c r="U516" s="8"/>
    </row>
    <row r="517" spans="10:21" s="5" customFormat="1">
      <c r="T517" s="8"/>
      <c r="U517" s="8"/>
    </row>
    <row r="518" spans="10:21" s="5" customFormat="1">
      <c r="T518" s="8"/>
      <c r="U518" s="8"/>
    </row>
    <row r="519" spans="10:21" s="5" customFormat="1">
      <c r="T519" s="8"/>
      <c r="U519" s="8"/>
    </row>
    <row r="520" spans="10:21" s="5" customFormat="1">
      <c r="T520" s="8"/>
      <c r="U520" s="8"/>
    </row>
    <row r="521" spans="10:21" s="5" customFormat="1">
      <c r="T521" s="8"/>
      <c r="U521" s="8"/>
    </row>
    <row r="522" spans="10:21" s="5" customFormat="1">
      <c r="T522" s="8"/>
      <c r="U522" s="8"/>
    </row>
    <row r="523" spans="10:21" s="5" customFormat="1">
      <c r="T523" s="8"/>
      <c r="U523" s="8"/>
    </row>
    <row r="524" spans="10:21" s="5" customFormat="1">
      <c r="T524" s="8"/>
      <c r="U524" s="8"/>
    </row>
    <row r="525" spans="10:21" s="5" customFormat="1"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</row>
    <row r="526" spans="10:21" s="5" customFormat="1"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</row>
    <row r="527" spans="10:21" s="5" customFormat="1"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</row>
    <row r="528" spans="10:21" s="5" customFormat="1"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</row>
    <row r="529" spans="10:21" s="5" customFormat="1"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</row>
    <row r="530" spans="10:21" s="5" customFormat="1"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</row>
    <row r="531" spans="10:21" s="5" customFormat="1"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</row>
    <row r="532" spans="10:21" s="5" customFormat="1"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</row>
    <row r="533" spans="10:21" s="5" customFormat="1"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</row>
    <row r="534" spans="10:21" s="5" customFormat="1"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</row>
    <row r="535" spans="10:21" s="5" customFormat="1"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</row>
    <row r="536" spans="10:21" s="5" customFormat="1"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</row>
    <row r="537" spans="10:21" s="5" customFormat="1"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</row>
    <row r="538" spans="10:21" s="5" customFormat="1"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</row>
    <row r="539" spans="10:21" s="5" customFormat="1"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</row>
    <row r="540" spans="10:21" s="5" customFormat="1"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</row>
    <row r="541" spans="10:21" s="5" customFormat="1"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</row>
    <row r="542" spans="10:21" s="5" customFormat="1"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</row>
    <row r="543" spans="10:21" s="5" customFormat="1"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</row>
    <row r="544" spans="10:21" s="5" customFormat="1"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</row>
    <row r="545" spans="10:21" s="5" customFormat="1"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</row>
    <row r="546" spans="10:21" s="5" customFormat="1"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</row>
    <row r="547" spans="10:21" s="5" customFormat="1"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</row>
    <row r="548" spans="10:21" s="5" customFormat="1"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</row>
    <row r="549" spans="10:21" s="5" customFormat="1"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</row>
    <row r="550" spans="10:21" s="5" customFormat="1"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</row>
    <row r="551" spans="10:21" s="5" customFormat="1"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</row>
    <row r="552" spans="10:21" s="5" customFormat="1"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</row>
    <row r="553" spans="10:21" s="5" customFormat="1"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</row>
    <row r="554" spans="10:21" s="5" customFormat="1"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</row>
    <row r="555" spans="10:21" s="5" customFormat="1"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</row>
    <row r="556" spans="10:21" s="5" customFormat="1"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</row>
    <row r="557" spans="10:21" s="5" customFormat="1"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</row>
    <row r="558" spans="10:21" s="5" customFormat="1"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</row>
    <row r="559" spans="10:21" s="5" customFormat="1"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</row>
    <row r="560" spans="10:21" s="5" customFormat="1"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</row>
    <row r="561" spans="10:21" s="5" customFormat="1"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</row>
    <row r="562" spans="10:21" s="5" customFormat="1"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</row>
    <row r="563" spans="10:21" s="5" customFormat="1"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</row>
    <row r="564" spans="10:21" s="5" customFormat="1"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</row>
    <row r="565" spans="10:21" s="5" customFormat="1"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</row>
    <row r="566" spans="10:21" s="5" customFormat="1"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</row>
    <row r="567" spans="10:21" s="5" customFormat="1"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</row>
    <row r="568" spans="10:21" s="5" customFormat="1"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</row>
    <row r="569" spans="10:21" s="5" customFormat="1"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</row>
    <row r="570" spans="10:21" s="5" customFormat="1"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</row>
    <row r="571" spans="10:21" s="5" customFormat="1"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</row>
    <row r="572" spans="10:21" s="5" customFormat="1"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</row>
    <row r="573" spans="10:21" s="5" customFormat="1"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</row>
    <row r="574" spans="10:21" s="5" customFormat="1"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</row>
    <row r="575" spans="10:21" s="5" customFormat="1"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</row>
    <row r="576" spans="10:21" s="5" customFormat="1"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</row>
    <row r="577" spans="10:21" s="5" customFormat="1"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</row>
    <row r="578" spans="10:21" s="5" customFormat="1"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</row>
    <row r="579" spans="10:21" s="5" customFormat="1"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</row>
    <row r="580" spans="10:21" s="5" customFormat="1"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</row>
    <row r="581" spans="10:21" s="5" customFormat="1"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</row>
    <row r="582" spans="10:21" s="5" customFormat="1"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</row>
    <row r="583" spans="10:21" s="5" customFormat="1"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</row>
    <row r="584" spans="10:21" s="5" customFormat="1"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</row>
    <row r="585" spans="10:21" s="5" customFormat="1"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</row>
    <row r="586" spans="10:21" s="5" customFormat="1"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</row>
    <row r="587" spans="10:21" s="5" customFormat="1"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</row>
    <row r="588" spans="10:21" s="5" customFormat="1"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</row>
    <row r="589" spans="10:21" s="5" customFormat="1"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</row>
    <row r="590" spans="10:21" s="5" customFormat="1"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</row>
    <row r="591" spans="10:21" s="5" customFormat="1"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</row>
    <row r="592" spans="10:21" s="5" customFormat="1"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</row>
    <row r="593" spans="10:21" s="5" customFormat="1"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</row>
    <row r="594" spans="10:21" s="5" customFormat="1"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</row>
    <row r="595" spans="10:21" s="5" customFormat="1"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</row>
    <row r="596" spans="10:21" s="5" customFormat="1"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</row>
    <row r="597" spans="10:21" s="5" customFormat="1"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</row>
    <row r="598" spans="10:21" s="5" customFormat="1"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</row>
    <row r="599" spans="10:21" s="5" customFormat="1"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</row>
    <row r="600" spans="10:21" s="5" customFormat="1"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</row>
    <row r="601" spans="10:21" s="5" customFormat="1"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</row>
    <row r="602" spans="10:21" s="5" customFormat="1"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</row>
    <row r="603" spans="10:21" s="5" customFormat="1"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</row>
    <row r="604" spans="10:21" s="5" customFormat="1"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</row>
    <row r="605" spans="10:21" s="5" customFormat="1"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</row>
    <row r="606" spans="10:21" s="5" customFormat="1"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</row>
    <row r="607" spans="10:21" s="5" customFormat="1"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</row>
    <row r="608" spans="10:21" s="5" customFormat="1"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</row>
    <row r="609" spans="10:21" s="5" customFormat="1"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</row>
    <row r="610" spans="10:21" s="5" customFormat="1"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</row>
    <row r="611" spans="10:21" s="5" customFormat="1"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</row>
    <row r="612" spans="10:21" s="5" customFormat="1"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</row>
    <row r="613" spans="10:21" s="5" customFormat="1"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</row>
    <row r="614" spans="10:21" s="5" customFormat="1"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</row>
    <row r="615" spans="10:21" s="5" customFormat="1"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</row>
    <row r="616" spans="10:21" s="5" customFormat="1"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</row>
    <row r="617" spans="10:21" s="5" customFormat="1"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</row>
    <row r="618" spans="10:21" s="5" customFormat="1"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</row>
    <row r="619" spans="10:21" s="5" customFormat="1"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</row>
    <row r="620" spans="10:21" s="5" customFormat="1"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</row>
    <row r="621" spans="10:21" s="5" customFormat="1"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</row>
    <row r="622" spans="10:21" s="5" customFormat="1"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</row>
    <row r="623" spans="10:21" s="5" customFormat="1"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</row>
    <row r="624" spans="10:21" s="5" customFormat="1"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</row>
    <row r="625" spans="10:21" s="5" customFormat="1"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</row>
    <row r="626" spans="10:21" s="5" customFormat="1"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</row>
    <row r="627" spans="10:21" s="5" customFormat="1"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</row>
    <row r="628" spans="10:21" s="5" customFormat="1"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</row>
    <row r="629" spans="10:21" s="5" customFormat="1"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</row>
    <row r="630" spans="10:21" s="5" customFormat="1"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</row>
    <row r="631" spans="10:21" s="5" customFormat="1"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</row>
    <row r="632" spans="10:21" s="5" customFormat="1"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</row>
    <row r="633" spans="10:21" s="5" customFormat="1"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</row>
    <row r="634" spans="10:21" s="5" customFormat="1"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</row>
    <row r="635" spans="10:21" s="5" customFormat="1"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</row>
    <row r="636" spans="10:21" s="5" customFormat="1"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</row>
    <row r="637" spans="10:21" s="5" customFormat="1"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</row>
    <row r="638" spans="10:21" s="5" customFormat="1"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</row>
    <row r="639" spans="10:21" s="5" customFormat="1"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</row>
    <row r="640" spans="10:21" s="5" customFormat="1"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</row>
    <row r="641" spans="10:21" s="5" customFormat="1"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</row>
    <row r="642" spans="10:21" s="5" customFormat="1"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</row>
    <row r="643" spans="10:21" s="5" customFormat="1"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</row>
    <row r="644" spans="10:21" s="5" customFormat="1"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</row>
    <row r="645" spans="10:21" s="5" customFormat="1"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</row>
    <row r="646" spans="10:21" s="5" customFormat="1"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</row>
    <row r="647" spans="10:21" s="5" customFormat="1"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</row>
    <row r="648" spans="10:21" s="5" customFormat="1"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</row>
    <row r="649" spans="10:21" s="5" customFormat="1"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</row>
    <row r="650" spans="10:21" s="5" customFormat="1"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</row>
  </sheetData>
  <customSheetViews>
    <customSheetView guid="{A17760D1-AAE4-45B9-A6C2-F2EA682A6BDE}" showRuler="0">
      <pane xSplit="9.3921568627450984" topLeftCell="L1"/>
      <selection activeCell="B1" sqref="B1:I1"/>
      <pageMargins left="0.74803149606299213" right="0.74803149606299213" top="0.98425196850393704" bottom="0.98425196850393704" header="0.51181102362204722" footer="0.51181102362204722"/>
      <pageSetup paperSize="9" scale="130" orientation="landscape" horizontalDpi="4294967293" verticalDpi="300" r:id="rId1"/>
      <headerFooter alignWithMargins="0"/>
    </customSheetView>
  </customSheetViews>
  <mergeCells count="83">
    <mergeCell ref="M22:N22"/>
    <mergeCell ref="F16:F17"/>
    <mergeCell ref="H16:H17"/>
    <mergeCell ref="A5:A21"/>
    <mergeCell ref="G18:G19"/>
    <mergeCell ref="G11:G12"/>
    <mergeCell ref="F11:F12"/>
    <mergeCell ref="H18:H19"/>
    <mergeCell ref="F13:F14"/>
    <mergeCell ref="L13:N13"/>
    <mergeCell ref="O17:R17"/>
    <mergeCell ref="L9:O9"/>
    <mergeCell ref="Q12:R12"/>
    <mergeCell ref="O13:R13"/>
    <mergeCell ref="G16:G17"/>
    <mergeCell ref="G13:G14"/>
    <mergeCell ref="I11:I12"/>
    <mergeCell ref="Q16:R16"/>
    <mergeCell ref="L17:N17"/>
    <mergeCell ref="I8:I10"/>
    <mergeCell ref="I16:I17"/>
    <mergeCell ref="I13:I14"/>
    <mergeCell ref="J24:K24"/>
    <mergeCell ref="I18:I19"/>
    <mergeCell ref="J22:K22"/>
    <mergeCell ref="A24:A36"/>
    <mergeCell ref="B8:B10"/>
    <mergeCell ref="F18:F19"/>
    <mergeCell ref="D11:D15"/>
    <mergeCell ref="B13:B14"/>
    <mergeCell ref="B11:B12"/>
    <mergeCell ref="D18:D19"/>
    <mergeCell ref="D16:D17"/>
    <mergeCell ref="F5:F7"/>
    <mergeCell ref="F8:F10"/>
    <mergeCell ref="C38:E38"/>
    <mergeCell ref="B1:I1"/>
    <mergeCell ref="B2:I2"/>
    <mergeCell ref="B3:I3"/>
    <mergeCell ref="G5:G7"/>
    <mergeCell ref="D5:D10"/>
    <mergeCell ref="B5:B7"/>
    <mergeCell ref="G8:G10"/>
    <mergeCell ref="I5:I7"/>
    <mergeCell ref="H5:H14"/>
    <mergeCell ref="J1:AE1"/>
    <mergeCell ref="J2:AE2"/>
    <mergeCell ref="P9:T9"/>
    <mergeCell ref="S8:T8"/>
    <mergeCell ref="R5:X5"/>
    <mergeCell ref="AA9:AE9"/>
    <mergeCell ref="W4:X4"/>
    <mergeCell ref="Y4:AE4"/>
    <mergeCell ref="J3:AE3"/>
    <mergeCell ref="Y8:Z8"/>
    <mergeCell ref="AA8:AE8"/>
    <mergeCell ref="AF17:AM17"/>
    <mergeCell ref="X17:AE17"/>
    <mergeCell ref="AA12:AE12"/>
    <mergeCell ref="Z16:AE16"/>
    <mergeCell ref="U16:W16"/>
    <mergeCell ref="U9:Z9"/>
    <mergeCell ref="AF12:AM12"/>
    <mergeCell ref="AF13:AM13"/>
    <mergeCell ref="AF16:AM16"/>
    <mergeCell ref="U12:W12"/>
    <mergeCell ref="L5:Q5"/>
    <mergeCell ref="Y5:AE5"/>
    <mergeCell ref="AC27:AE27"/>
    <mergeCell ref="AA22:AE22"/>
    <mergeCell ref="S13:W13"/>
    <mergeCell ref="S17:W17"/>
    <mergeCell ref="V22:Z22"/>
    <mergeCell ref="S22:U22"/>
    <mergeCell ref="X13:AE13"/>
    <mergeCell ref="J23:K23"/>
    <mergeCell ref="R27:S27"/>
    <mergeCell ref="J29:K29"/>
    <mergeCell ref="J28:K28"/>
    <mergeCell ref="J27:K27"/>
    <mergeCell ref="T27:Y27"/>
    <mergeCell ref="L27:Q27"/>
    <mergeCell ref="P22:R22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horizontalDpi="300" verticalDpi="300" r:id="rId2"/>
  <headerFooter alignWithMargins="0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Φύλλο8">
    <pageSetUpPr autoPageBreaks="0"/>
  </sheetPr>
  <dimension ref="A1:AE735"/>
  <sheetViews>
    <sheetView workbookViewId="0">
      <selection activeCell="B1" sqref="B1:I1"/>
    </sheetView>
  </sheetViews>
  <sheetFormatPr defaultRowHeight="12.75"/>
  <cols>
    <col min="1" max="2" width="3.7109375" customWidth="1"/>
    <col min="3" max="3" width="34.7109375" customWidth="1"/>
    <col min="4" max="9" width="10.7109375" customWidth="1"/>
    <col min="10" max="10" width="15.7109375" style="2" customWidth="1"/>
    <col min="11" max="13" width="15.5703125" style="2" customWidth="1"/>
    <col min="14" max="14" width="15.7109375" style="2" customWidth="1"/>
    <col min="15" max="18" width="15.5703125" style="2" customWidth="1"/>
    <col min="19" max="19" width="15.85546875" style="2" customWidth="1"/>
    <col min="20" max="21" width="15.5703125" style="2" customWidth="1"/>
    <col min="22" max="27" width="15.5703125" customWidth="1"/>
    <col min="28" max="28" width="16.7109375" customWidth="1"/>
    <col min="29" max="31" width="15.5703125" customWidth="1"/>
  </cols>
  <sheetData>
    <row r="1" spans="1:31" ht="28.5" customHeight="1">
      <c r="A1" s="31"/>
      <c r="B1" s="250" t="s">
        <v>248</v>
      </c>
      <c r="C1" s="251"/>
      <c r="D1" s="251"/>
      <c r="E1" s="251"/>
      <c r="F1" s="251"/>
      <c r="G1" s="251"/>
      <c r="H1" s="251"/>
      <c r="I1" s="251"/>
      <c r="J1" s="240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spans="1:31" ht="24" customHeight="1">
      <c r="A2" s="25"/>
      <c r="B2" s="348" t="s">
        <v>263</v>
      </c>
      <c r="C2" s="348"/>
      <c r="D2" s="348"/>
      <c r="E2" s="348"/>
      <c r="F2" s="348"/>
      <c r="G2" s="348"/>
      <c r="H2" s="348"/>
      <c r="I2" s="348"/>
      <c r="J2" s="345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</row>
    <row r="3" spans="1:31" s="9" customFormat="1" ht="24" customHeight="1">
      <c r="A3" s="23"/>
      <c r="B3" s="253" t="s">
        <v>36</v>
      </c>
      <c r="C3" s="253"/>
      <c r="D3" s="253"/>
      <c r="E3" s="253"/>
      <c r="F3" s="253"/>
      <c r="G3" s="253"/>
      <c r="H3" s="253"/>
      <c r="I3" s="253"/>
      <c r="J3" s="245" t="s">
        <v>325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47"/>
    </row>
    <row r="4" spans="1:31" s="14" customFormat="1" ht="12.75" customHeight="1">
      <c r="A4" s="24"/>
      <c r="B4" s="12"/>
      <c r="C4" s="12" t="s">
        <v>38</v>
      </c>
      <c r="D4" s="20" t="s">
        <v>167</v>
      </c>
      <c r="E4" s="12" t="s">
        <v>0</v>
      </c>
      <c r="F4" s="12" t="s">
        <v>1</v>
      </c>
      <c r="G4" s="12" t="s">
        <v>2</v>
      </c>
      <c r="H4" s="12" t="s">
        <v>10</v>
      </c>
      <c r="I4" s="12" t="s">
        <v>11</v>
      </c>
      <c r="J4" s="207" t="s">
        <v>24</v>
      </c>
      <c r="K4" s="190" t="s">
        <v>215</v>
      </c>
      <c r="L4" s="190" t="s">
        <v>237</v>
      </c>
      <c r="M4" s="190" t="s">
        <v>238</v>
      </c>
      <c r="N4" s="190" t="s">
        <v>239</v>
      </c>
      <c r="O4" s="190" t="s">
        <v>240</v>
      </c>
      <c r="P4" s="190" t="s">
        <v>241</v>
      </c>
      <c r="Q4" s="190" t="s">
        <v>242</v>
      </c>
      <c r="R4" s="190" t="s">
        <v>220</v>
      </c>
      <c r="S4" s="190" t="s">
        <v>221</v>
      </c>
      <c r="T4" s="190" t="s">
        <v>216</v>
      </c>
      <c r="U4" s="190" t="s">
        <v>217</v>
      </c>
      <c r="V4" s="190" t="s">
        <v>218</v>
      </c>
      <c r="W4" s="191" t="s">
        <v>219</v>
      </c>
      <c r="X4" s="191"/>
      <c r="Y4" s="191"/>
      <c r="Z4" s="191"/>
      <c r="AA4" s="191"/>
      <c r="AB4" s="191"/>
      <c r="AC4" s="192"/>
      <c r="AD4" s="193"/>
      <c r="AE4" s="193"/>
    </row>
    <row r="5" spans="1:31" s="5" customFormat="1" ht="12.75" customHeight="1">
      <c r="A5" s="257" t="s">
        <v>144</v>
      </c>
      <c r="B5" s="235">
        <f>IF(A23=1,1,0)</f>
        <v>1</v>
      </c>
      <c r="C5" s="82" t="s">
        <v>245</v>
      </c>
      <c r="D5" s="233">
        <v>1</v>
      </c>
      <c r="E5" s="17">
        <f>IF(D5=1,K11,IF(D5=2,L11,IF(D5=3,M11,IF(D5=4,N11,IF(D5=5,O11,IF(D5=6,P11,IF(D5=7,Q11,IF(D5=8,R11,0))))))))*B5*A38/23</f>
        <v>1092</v>
      </c>
      <c r="F5" s="235">
        <v>12</v>
      </c>
      <c r="G5" s="234">
        <f>ROUND((E5+E6+E7)*F5,2)</f>
        <v>13104</v>
      </c>
      <c r="H5" s="234">
        <v>16.75</v>
      </c>
      <c r="I5" s="234">
        <f>ROUND(G5*H5%,2)</f>
        <v>2194.92</v>
      </c>
      <c r="J5" s="227" t="s">
        <v>100</v>
      </c>
      <c r="K5" s="194">
        <v>1</v>
      </c>
      <c r="L5" s="194">
        <v>2</v>
      </c>
      <c r="M5" s="194">
        <v>3</v>
      </c>
      <c r="N5" s="194">
        <v>4</v>
      </c>
      <c r="O5" s="194">
        <v>5</v>
      </c>
      <c r="P5" s="194">
        <v>6</v>
      </c>
      <c r="Q5" s="194">
        <v>7</v>
      </c>
      <c r="R5" s="194">
        <v>8</v>
      </c>
      <c r="S5" s="194">
        <v>9</v>
      </c>
      <c r="T5" s="194">
        <v>10</v>
      </c>
      <c r="U5" s="194">
        <v>11</v>
      </c>
      <c r="V5" s="194">
        <v>12</v>
      </c>
      <c r="W5" s="192">
        <v>13</v>
      </c>
      <c r="X5" s="192"/>
      <c r="Y5" s="192"/>
      <c r="Z5" s="192"/>
      <c r="AA5" s="192"/>
      <c r="AB5" s="192"/>
      <c r="AC5" s="192"/>
      <c r="AD5" s="195"/>
      <c r="AE5" s="195"/>
    </row>
    <row r="6" spans="1:31" ht="12.75" customHeight="1">
      <c r="A6" s="257"/>
      <c r="B6" s="235"/>
      <c r="C6" s="82" t="s">
        <v>246</v>
      </c>
      <c r="D6" s="233"/>
      <c r="E6" s="17">
        <f>IF(D5=9,S11,IF(D5=10,T11,IF(D5=11,U11,IF(D5=12,V11,IF(D5=13,W11,IF(D5=14,X11,IF(D5=15,Y11,IF(D5=16,Z11,0))))))))*B5*A38/23</f>
        <v>0</v>
      </c>
      <c r="F6" s="235"/>
      <c r="G6" s="234"/>
      <c r="H6" s="234"/>
      <c r="I6" s="234"/>
      <c r="J6" s="227" t="s">
        <v>101</v>
      </c>
      <c r="K6" s="196">
        <v>780</v>
      </c>
      <c r="L6" s="196">
        <f>ROUND(K6+$K$6*0.0551,0)</f>
        <v>823</v>
      </c>
      <c r="M6" s="196">
        <f t="shared" ref="M6:W6" si="0">ROUND(L6+$K$6*0.0551,0)</f>
        <v>866</v>
      </c>
      <c r="N6" s="196">
        <f t="shared" si="0"/>
        <v>909</v>
      </c>
      <c r="O6" s="196">
        <f t="shared" si="0"/>
        <v>952</v>
      </c>
      <c r="P6" s="196">
        <f t="shared" si="0"/>
        <v>995</v>
      </c>
      <c r="Q6" s="196">
        <f t="shared" si="0"/>
        <v>1038</v>
      </c>
      <c r="R6" s="196">
        <f t="shared" si="0"/>
        <v>1081</v>
      </c>
      <c r="S6" s="196">
        <f t="shared" si="0"/>
        <v>1124</v>
      </c>
      <c r="T6" s="196">
        <f t="shared" si="0"/>
        <v>1167</v>
      </c>
      <c r="U6" s="196">
        <f t="shared" si="0"/>
        <v>1210</v>
      </c>
      <c r="V6" s="196">
        <f t="shared" si="0"/>
        <v>1253</v>
      </c>
      <c r="W6" s="196">
        <f t="shared" si="0"/>
        <v>1296</v>
      </c>
      <c r="X6" s="196"/>
      <c r="Y6" s="196"/>
      <c r="Z6" s="196"/>
      <c r="AA6" s="196"/>
      <c r="AB6" s="196"/>
      <c r="AC6" s="196"/>
      <c r="AD6" s="197"/>
      <c r="AE6" s="197"/>
    </row>
    <row r="7" spans="1:31" ht="12.75" customHeight="1">
      <c r="A7" s="257"/>
      <c r="B7" s="235"/>
      <c r="C7" s="82" t="s">
        <v>244</v>
      </c>
      <c r="D7" s="233"/>
      <c r="E7" s="17">
        <f>IF(D5=17,AA11,IF(D5=18,AB11,IF(D5=19,AC11,0)))*B5*A38/23</f>
        <v>0</v>
      </c>
      <c r="F7" s="235"/>
      <c r="G7" s="234"/>
      <c r="H7" s="234"/>
      <c r="I7" s="235"/>
      <c r="J7" s="227" t="s">
        <v>102</v>
      </c>
      <c r="K7" s="198">
        <f>ROUND(K6*1.1,0)</f>
        <v>858</v>
      </c>
      <c r="L7" s="196">
        <f>ROUND(K7+$K$7*0.0699,0)</f>
        <v>918</v>
      </c>
      <c r="M7" s="196">
        <f t="shared" ref="M7:W7" si="1">ROUND(L7+$K$7*0.0699,0)</f>
        <v>978</v>
      </c>
      <c r="N7" s="196">
        <f t="shared" si="1"/>
        <v>1038</v>
      </c>
      <c r="O7" s="196">
        <f t="shared" si="1"/>
        <v>1098</v>
      </c>
      <c r="P7" s="196">
        <f t="shared" si="1"/>
        <v>1158</v>
      </c>
      <c r="Q7" s="196">
        <f t="shared" si="1"/>
        <v>1218</v>
      </c>
      <c r="R7" s="196">
        <f t="shared" si="1"/>
        <v>1278</v>
      </c>
      <c r="S7" s="196">
        <f t="shared" si="1"/>
        <v>1338</v>
      </c>
      <c r="T7" s="196">
        <f t="shared" si="1"/>
        <v>1398</v>
      </c>
      <c r="U7" s="196">
        <f t="shared" si="1"/>
        <v>1458</v>
      </c>
      <c r="V7" s="196">
        <f t="shared" si="1"/>
        <v>1518</v>
      </c>
      <c r="W7" s="196">
        <f t="shared" si="1"/>
        <v>1578</v>
      </c>
      <c r="X7" s="196"/>
      <c r="Y7" s="196"/>
      <c r="Z7" s="196"/>
      <c r="AA7" s="196"/>
      <c r="AB7" s="196"/>
      <c r="AC7" s="196"/>
      <c r="AD7" s="199"/>
      <c r="AE7" s="199"/>
    </row>
    <row r="8" spans="1:31" ht="12.75" customHeight="1">
      <c r="A8" s="257"/>
      <c r="B8" s="235">
        <f>IF(A23=2,1,0)</f>
        <v>0</v>
      </c>
      <c r="C8" s="82" t="s">
        <v>245</v>
      </c>
      <c r="D8" s="233"/>
      <c r="E8" s="17">
        <f>IF(D5=1,K10,IF(D5=2,L10,IF(D5=3,M10,IF(D5=4,N10,IF(D5=5,O10,IF(D5=6,P10,IF(D5=7,Q10,IF(D5=8,R10,0))))))))*B8*A38/23</f>
        <v>0</v>
      </c>
      <c r="F8" s="235">
        <v>12</v>
      </c>
      <c r="G8" s="234">
        <f>ROUND((E8+E9+E10)*F8,2)</f>
        <v>0</v>
      </c>
      <c r="H8" s="234"/>
      <c r="I8" s="234">
        <f>ROUND(G8*H5%,2)</f>
        <v>0</v>
      </c>
      <c r="J8" s="227" t="s">
        <v>24</v>
      </c>
      <c r="K8" s="190" t="s">
        <v>126</v>
      </c>
      <c r="L8" s="190" t="s">
        <v>127</v>
      </c>
      <c r="M8" s="190" t="s">
        <v>128</v>
      </c>
      <c r="N8" s="190" t="s">
        <v>130</v>
      </c>
      <c r="O8" s="190" t="s">
        <v>131</v>
      </c>
      <c r="P8" s="190" t="s">
        <v>133</v>
      </c>
      <c r="Q8" s="190" t="s">
        <v>134</v>
      </c>
      <c r="R8" s="190" t="s">
        <v>139</v>
      </c>
      <c r="S8" s="190" t="s">
        <v>141</v>
      </c>
      <c r="T8" s="190" t="s">
        <v>142</v>
      </c>
      <c r="U8" s="190" t="s">
        <v>138</v>
      </c>
      <c r="V8" s="190" t="s">
        <v>229</v>
      </c>
      <c r="W8" s="191" t="s">
        <v>230</v>
      </c>
      <c r="X8" s="191" t="s">
        <v>231</v>
      </c>
      <c r="Y8" s="191" t="s">
        <v>232</v>
      </c>
      <c r="Z8" s="191" t="s">
        <v>233</v>
      </c>
      <c r="AA8" s="191" t="s">
        <v>234</v>
      </c>
      <c r="AB8" s="191" t="s">
        <v>235</v>
      </c>
      <c r="AC8" s="191" t="s">
        <v>236</v>
      </c>
      <c r="AD8" s="200"/>
      <c r="AE8" s="200"/>
    </row>
    <row r="9" spans="1:31" ht="12.75" customHeight="1">
      <c r="A9" s="257"/>
      <c r="B9" s="235"/>
      <c r="C9" s="82" t="s">
        <v>246</v>
      </c>
      <c r="D9" s="249"/>
      <c r="E9" s="17">
        <f>IF(D5=9,S10,IF(D5=10,T10,IF(D5=11,U10,IF(D5=12,V10,IF(D5=13,W10,IF(D5=14,X10,IF(D5=15,Y10,IF(D5=16,Z10,0))))))))*B8*A38/23</f>
        <v>0</v>
      </c>
      <c r="F9" s="235"/>
      <c r="G9" s="234"/>
      <c r="H9" s="234"/>
      <c r="I9" s="234"/>
      <c r="J9" s="227" t="s">
        <v>100</v>
      </c>
      <c r="K9" s="194">
        <v>1</v>
      </c>
      <c r="L9" s="194">
        <v>2</v>
      </c>
      <c r="M9" s="194">
        <v>3</v>
      </c>
      <c r="N9" s="194">
        <v>4</v>
      </c>
      <c r="O9" s="194">
        <v>5</v>
      </c>
      <c r="P9" s="194">
        <v>6</v>
      </c>
      <c r="Q9" s="194">
        <v>7</v>
      </c>
      <c r="R9" s="194">
        <v>8</v>
      </c>
      <c r="S9" s="194">
        <v>9</v>
      </c>
      <c r="T9" s="194">
        <v>10</v>
      </c>
      <c r="U9" s="194">
        <v>11</v>
      </c>
      <c r="V9" s="194">
        <v>12</v>
      </c>
      <c r="W9" s="192">
        <v>13</v>
      </c>
      <c r="X9" s="192">
        <v>14</v>
      </c>
      <c r="Y9" s="192">
        <v>15</v>
      </c>
      <c r="Z9" s="192">
        <v>16</v>
      </c>
      <c r="AA9" s="192">
        <v>17</v>
      </c>
      <c r="AB9" s="192">
        <v>18</v>
      </c>
      <c r="AC9" s="192">
        <v>19</v>
      </c>
      <c r="AD9" s="195"/>
      <c r="AE9" s="195"/>
    </row>
    <row r="10" spans="1:31" ht="12.75" customHeight="1">
      <c r="A10" s="257"/>
      <c r="B10" s="235"/>
      <c r="C10" s="82" t="s">
        <v>244</v>
      </c>
      <c r="D10" s="249"/>
      <c r="E10" s="17">
        <f>IF(D5=17,AA10,IF(D5=18,AB10,IF(D5=19,AC10,0)))*B8*A38/23</f>
        <v>0</v>
      </c>
      <c r="F10" s="235"/>
      <c r="G10" s="234"/>
      <c r="H10" s="234"/>
      <c r="I10" s="235"/>
      <c r="J10" s="227" t="s">
        <v>103</v>
      </c>
      <c r="K10" s="198">
        <f>ROUND(K6*1.33,0)</f>
        <v>1037</v>
      </c>
      <c r="L10" s="196">
        <f>ROUND(K10+$K$10*0.053,0)</f>
        <v>1092</v>
      </c>
      <c r="M10" s="196">
        <f t="shared" ref="M10:AC10" si="2">ROUND(L10+$K$10*0.053,0)</f>
        <v>1147</v>
      </c>
      <c r="N10" s="196">
        <f t="shared" si="2"/>
        <v>1202</v>
      </c>
      <c r="O10" s="196">
        <f t="shared" si="2"/>
        <v>1257</v>
      </c>
      <c r="P10" s="196">
        <f t="shared" si="2"/>
        <v>1312</v>
      </c>
      <c r="Q10" s="196">
        <f t="shared" si="2"/>
        <v>1367</v>
      </c>
      <c r="R10" s="196">
        <f t="shared" si="2"/>
        <v>1422</v>
      </c>
      <c r="S10" s="196">
        <f t="shared" si="2"/>
        <v>1477</v>
      </c>
      <c r="T10" s="196">
        <f t="shared" si="2"/>
        <v>1532</v>
      </c>
      <c r="U10" s="196">
        <f t="shared" si="2"/>
        <v>1587</v>
      </c>
      <c r="V10" s="196">
        <f t="shared" si="2"/>
        <v>1642</v>
      </c>
      <c r="W10" s="196">
        <f t="shared" si="2"/>
        <v>1697</v>
      </c>
      <c r="X10" s="196">
        <f t="shared" si="2"/>
        <v>1752</v>
      </c>
      <c r="Y10" s="196">
        <f t="shared" si="2"/>
        <v>1807</v>
      </c>
      <c r="Z10" s="196">
        <f t="shared" si="2"/>
        <v>1862</v>
      </c>
      <c r="AA10" s="196">
        <f t="shared" si="2"/>
        <v>1917</v>
      </c>
      <c r="AB10" s="196">
        <f t="shared" si="2"/>
        <v>1972</v>
      </c>
      <c r="AC10" s="196">
        <f t="shared" si="2"/>
        <v>2027</v>
      </c>
      <c r="AD10" s="196"/>
      <c r="AE10" s="196"/>
    </row>
    <row r="11" spans="1:31" ht="12.75" customHeight="1">
      <c r="A11" s="257"/>
      <c r="B11" s="235">
        <f>IF(A23=3,1,0)</f>
        <v>0</v>
      </c>
      <c r="C11" s="82" t="s">
        <v>245</v>
      </c>
      <c r="D11" s="249"/>
      <c r="E11" s="17">
        <f>IF(D5=1,K7,IF(D5=2,L7,IF(D5=3,M7,IF(D5=4,N7,IF(D5=5,O7,IF(D5=6,P7,IF(D5=7,Q7,IF(D5=8,R7,0))))))))*B11*A38/23</f>
        <v>0</v>
      </c>
      <c r="F11" s="235">
        <v>12</v>
      </c>
      <c r="G11" s="234">
        <f>ROUND((E11+E12)*F11,2)</f>
        <v>0</v>
      </c>
      <c r="H11" s="234"/>
      <c r="I11" s="234">
        <f>ROUND(G11*H5%,2)</f>
        <v>0</v>
      </c>
      <c r="J11" s="227" t="s">
        <v>104</v>
      </c>
      <c r="K11" s="198">
        <f>ROUND(K6*1.4,0)</f>
        <v>1092</v>
      </c>
      <c r="L11" s="196">
        <f>ROUND(K11+$K$11*0.054,0)</f>
        <v>1151</v>
      </c>
      <c r="M11" s="196">
        <f t="shared" ref="M11:AC11" si="3">ROUND(L11+$K$11*0.054,0)</f>
        <v>1210</v>
      </c>
      <c r="N11" s="196">
        <f t="shared" si="3"/>
        <v>1269</v>
      </c>
      <c r="O11" s="196">
        <f t="shared" si="3"/>
        <v>1328</v>
      </c>
      <c r="P11" s="196">
        <f t="shared" si="3"/>
        <v>1387</v>
      </c>
      <c r="Q11" s="196">
        <f t="shared" si="3"/>
        <v>1446</v>
      </c>
      <c r="R11" s="196">
        <f t="shared" si="3"/>
        <v>1505</v>
      </c>
      <c r="S11" s="196">
        <f t="shared" si="3"/>
        <v>1564</v>
      </c>
      <c r="T11" s="196">
        <f t="shared" si="3"/>
        <v>1623</v>
      </c>
      <c r="U11" s="196">
        <f t="shared" si="3"/>
        <v>1682</v>
      </c>
      <c r="V11" s="196">
        <f t="shared" si="3"/>
        <v>1741</v>
      </c>
      <c r="W11" s="196">
        <f t="shared" si="3"/>
        <v>1800</v>
      </c>
      <c r="X11" s="196">
        <f t="shared" si="3"/>
        <v>1859</v>
      </c>
      <c r="Y11" s="196">
        <f t="shared" si="3"/>
        <v>1918</v>
      </c>
      <c r="Z11" s="196">
        <f t="shared" si="3"/>
        <v>1977</v>
      </c>
      <c r="AA11" s="196">
        <f t="shared" si="3"/>
        <v>2036</v>
      </c>
      <c r="AB11" s="196">
        <f t="shared" si="3"/>
        <v>2095</v>
      </c>
      <c r="AC11" s="196">
        <f t="shared" si="3"/>
        <v>2154</v>
      </c>
      <c r="AD11" s="196"/>
      <c r="AE11" s="196"/>
    </row>
    <row r="12" spans="1:31" ht="12.75" customHeight="1">
      <c r="A12" s="257"/>
      <c r="B12" s="235"/>
      <c r="C12" s="82" t="s">
        <v>247</v>
      </c>
      <c r="D12" s="249"/>
      <c r="E12" s="17">
        <f>IF(D5=9,S7,IF(D5=10,T7,IF(D5=11,U7,IF(D5=12,V7,IF(D5=13,W7,0)))))*B11*A38/23</f>
        <v>0</v>
      </c>
      <c r="F12" s="235"/>
      <c r="G12" s="234"/>
      <c r="H12" s="234"/>
      <c r="I12" s="234"/>
      <c r="J12" s="228"/>
      <c r="K12" s="201"/>
      <c r="L12" s="201"/>
      <c r="M12" s="201"/>
      <c r="N12" s="201"/>
      <c r="O12" s="201"/>
      <c r="P12" s="201"/>
      <c r="Q12" s="201"/>
      <c r="R12" s="202"/>
      <c r="S12" s="201"/>
      <c r="T12" s="201"/>
      <c r="U12" s="201"/>
      <c r="V12" s="202"/>
      <c r="W12" s="202"/>
      <c r="X12" s="201"/>
      <c r="Y12" s="201"/>
      <c r="Z12" s="201"/>
      <c r="AA12" s="201"/>
      <c r="AB12" s="202"/>
      <c r="AC12" s="202"/>
      <c r="AD12" s="202"/>
      <c r="AE12" s="203"/>
    </row>
    <row r="13" spans="1:31" ht="12.75" customHeight="1">
      <c r="A13" s="257"/>
      <c r="B13" s="235">
        <f>IF(A23=4,1,0)</f>
        <v>0</v>
      </c>
      <c r="C13" s="82" t="s">
        <v>245</v>
      </c>
      <c r="D13" s="249"/>
      <c r="E13" s="17">
        <f>IF(D5=1,K6,IF(D5=2,L6,IF(D5=3,M6,IF(D5=4,N6,IF(D5=5,O6,IF(D5=6,P6,IF(D5=7,Q6,IF(D5=8,R6,0))))))))*B13*A38/23</f>
        <v>0</v>
      </c>
      <c r="F13" s="235">
        <v>12</v>
      </c>
      <c r="G13" s="248">
        <f>ROUND((E13+E14)*F13,2)</f>
        <v>0</v>
      </c>
      <c r="H13" s="234"/>
      <c r="I13" s="234">
        <f>ROUND(G13*H5%,2)</f>
        <v>0</v>
      </c>
      <c r="J13" s="228"/>
      <c r="K13" s="204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6"/>
      <c r="W13" s="206"/>
      <c r="X13" s="205"/>
      <c r="Y13" s="205"/>
      <c r="Z13" s="205"/>
      <c r="AA13" s="205"/>
      <c r="AB13" s="205"/>
      <c r="AC13" s="205"/>
      <c r="AD13" s="205"/>
      <c r="AE13" s="205"/>
    </row>
    <row r="14" spans="1:31" ht="12.75" customHeight="1">
      <c r="A14" s="257"/>
      <c r="B14" s="235"/>
      <c r="C14" s="82" t="s">
        <v>247</v>
      </c>
      <c r="D14" s="249"/>
      <c r="E14" s="17">
        <f>IF(D5=9,S6,IF(D5=10,T6,IF(D5=11,U6,IF(D5=12,V6,IF(D5=13,W6,0)))))*B13*A38/23</f>
        <v>0</v>
      </c>
      <c r="F14" s="235"/>
      <c r="G14" s="248"/>
      <c r="H14" s="234"/>
      <c r="I14" s="235"/>
      <c r="J14" s="242" t="s">
        <v>78</v>
      </c>
      <c r="K14" s="237"/>
      <c r="L14" s="208" t="s">
        <v>123</v>
      </c>
      <c r="M14" s="207" t="s">
        <v>159</v>
      </c>
      <c r="N14" s="207" t="s">
        <v>318</v>
      </c>
      <c r="O14" s="207" t="s">
        <v>316</v>
      </c>
      <c r="P14" s="239" t="s">
        <v>283</v>
      </c>
      <c r="Q14" s="239"/>
      <c r="R14" s="239"/>
      <c r="S14" s="239" t="s">
        <v>284</v>
      </c>
      <c r="T14" s="239"/>
      <c r="U14" s="239"/>
      <c r="V14" s="237" t="s">
        <v>286</v>
      </c>
      <c r="W14" s="237"/>
      <c r="X14" s="237"/>
      <c r="Y14" s="237"/>
      <c r="Z14" s="237"/>
      <c r="AA14" s="237" t="s">
        <v>285</v>
      </c>
      <c r="AB14" s="237"/>
      <c r="AC14" s="237"/>
      <c r="AD14" s="237"/>
      <c r="AE14" s="237"/>
    </row>
    <row r="15" spans="1:31" ht="12.75" customHeight="1">
      <c r="A15" s="258"/>
      <c r="B15" s="16"/>
      <c r="C15" s="82" t="s">
        <v>243</v>
      </c>
      <c r="D15" s="249"/>
      <c r="E15" s="134"/>
      <c r="F15" s="3">
        <v>12</v>
      </c>
      <c r="G15" s="17">
        <f>ROUND(E15*F15,2)</f>
        <v>0</v>
      </c>
      <c r="H15" s="17">
        <v>16.75</v>
      </c>
      <c r="I15" s="17">
        <f>ROUND(G15*H15%,2)</f>
        <v>0</v>
      </c>
      <c r="J15" s="242" t="s">
        <v>41</v>
      </c>
      <c r="K15" s="237"/>
      <c r="L15" s="208" t="s">
        <v>122</v>
      </c>
      <c r="M15" s="207" t="s">
        <v>19</v>
      </c>
      <c r="N15" s="208" t="s">
        <v>317</v>
      </c>
      <c r="O15" s="207" t="s">
        <v>317</v>
      </c>
      <c r="P15" s="207" t="s">
        <v>320</v>
      </c>
      <c r="Q15" s="207" t="s">
        <v>324</v>
      </c>
      <c r="R15" s="207" t="s">
        <v>321</v>
      </c>
      <c r="S15" s="207" t="s">
        <v>320</v>
      </c>
      <c r="T15" s="207" t="s">
        <v>324</v>
      </c>
      <c r="U15" s="207" t="s">
        <v>321</v>
      </c>
      <c r="V15" s="207" t="s">
        <v>15</v>
      </c>
      <c r="W15" s="209" t="s">
        <v>289</v>
      </c>
      <c r="X15" s="209" t="s">
        <v>287</v>
      </c>
      <c r="Y15" s="209" t="s">
        <v>319</v>
      </c>
      <c r="Z15" s="209" t="s">
        <v>145</v>
      </c>
      <c r="AA15" s="207" t="s">
        <v>15</v>
      </c>
      <c r="AB15" s="209" t="s">
        <v>289</v>
      </c>
      <c r="AC15" s="209" t="s">
        <v>287</v>
      </c>
      <c r="AD15" s="209" t="s">
        <v>319</v>
      </c>
      <c r="AE15" s="209" t="s">
        <v>145</v>
      </c>
    </row>
    <row r="16" spans="1:31" ht="12.75" customHeight="1">
      <c r="A16" s="258"/>
      <c r="B16" s="12" t="s">
        <v>3</v>
      </c>
      <c r="C16" s="82" t="s">
        <v>59</v>
      </c>
      <c r="D16" s="233">
        <v>0</v>
      </c>
      <c r="E16" s="94">
        <f>IF(D16=0,K25,IF(D16=0,L25,IF(D16=1,M25,IF(D16=2,N25,IF(D16=3,O25,IF(D16=4,P25,IF(D16=5,Q25,IF(D16=6,R25,0))))))))*A38/23</f>
        <v>0</v>
      </c>
      <c r="F16" s="349">
        <v>12</v>
      </c>
      <c r="G16" s="234">
        <f>ROUND((E16+E17)*F16,2)</f>
        <v>0</v>
      </c>
      <c r="H16" s="234">
        <v>16.75</v>
      </c>
      <c r="I16" s="234">
        <f>ROUND(G16*H16%,2)</f>
        <v>0</v>
      </c>
      <c r="J16" s="243" t="s">
        <v>58</v>
      </c>
      <c r="K16" s="236"/>
      <c r="L16" s="211">
        <v>900</v>
      </c>
      <c r="M16" s="211">
        <v>550</v>
      </c>
      <c r="N16" s="211">
        <v>500</v>
      </c>
      <c r="O16" s="211">
        <v>350</v>
      </c>
      <c r="P16" s="211">
        <v>385</v>
      </c>
      <c r="Q16" s="211">
        <v>385</v>
      </c>
      <c r="R16" s="211">
        <v>385</v>
      </c>
      <c r="S16" s="211">
        <v>330</v>
      </c>
      <c r="T16" s="211">
        <v>330</v>
      </c>
      <c r="U16" s="211">
        <v>330</v>
      </c>
      <c r="V16" s="211">
        <v>330</v>
      </c>
      <c r="W16" s="211">
        <v>330</v>
      </c>
      <c r="X16" s="211">
        <v>330</v>
      </c>
      <c r="Y16" s="211">
        <v>330</v>
      </c>
      <c r="Z16" s="211">
        <v>330</v>
      </c>
      <c r="AA16" s="211">
        <v>275</v>
      </c>
      <c r="AB16" s="211">
        <v>275</v>
      </c>
      <c r="AC16" s="211">
        <v>275</v>
      </c>
      <c r="AD16" s="211">
        <v>275</v>
      </c>
      <c r="AE16" s="211">
        <v>275</v>
      </c>
    </row>
    <row r="17" spans="1:31" ht="12.75" customHeight="1">
      <c r="A17" s="258"/>
      <c r="B17" s="12" t="s">
        <v>4</v>
      </c>
      <c r="C17" s="82" t="s">
        <v>59</v>
      </c>
      <c r="D17" s="233"/>
      <c r="E17" s="94">
        <f>IF(D16=7,S25,IF(D16=8,T25,IF(D16=9,U25,IF(D16=10,V25,0))))*A38/23</f>
        <v>0</v>
      </c>
      <c r="F17" s="350"/>
      <c r="G17" s="234"/>
      <c r="H17" s="234"/>
      <c r="I17" s="234"/>
      <c r="J17" s="227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212"/>
      <c r="AC17" s="212"/>
      <c r="AD17" s="189"/>
      <c r="AE17" s="189"/>
    </row>
    <row r="18" spans="1:31" ht="12.75" customHeight="1">
      <c r="A18" s="258"/>
      <c r="B18" s="12" t="s">
        <v>5</v>
      </c>
      <c r="C18" s="82" t="s">
        <v>58</v>
      </c>
      <c r="D18" s="233">
        <v>0</v>
      </c>
      <c r="E18" s="17">
        <f>IF(D18=1,P16,IF(D18=2,S16,IF(D18=3,V16,IF(D18=4,AA16,IF(D18=5,L21,IF(D18=6,V21,IF(D18=7,O16,0)))))))*A38/23</f>
        <v>0</v>
      </c>
      <c r="F18" s="235">
        <v>12</v>
      </c>
      <c r="G18" s="234">
        <f>ROUND((E18+E19)*F18,2)</f>
        <v>0</v>
      </c>
      <c r="H18" s="234">
        <v>16.75</v>
      </c>
      <c r="I18" s="234">
        <f>ROUND(G18*H18%,2)</f>
        <v>0</v>
      </c>
      <c r="J18" s="227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9"/>
      <c r="AC18" s="189"/>
      <c r="AD18" s="189"/>
      <c r="AE18" s="189"/>
    </row>
    <row r="19" spans="1:31" ht="12.75" customHeight="1">
      <c r="A19" s="258"/>
      <c r="B19" s="12" t="s">
        <v>6</v>
      </c>
      <c r="C19" s="82" t="s">
        <v>58</v>
      </c>
      <c r="D19" s="233"/>
      <c r="E19" s="17">
        <f>IF(D18=8,M16,IF(D18=9,U21,IF(D18=10,N16,IF(D18=11,L16,IF(D18=12,Z21,IF(D18=13,Y21,0))))))*A38/23</f>
        <v>0</v>
      </c>
      <c r="F19" s="235"/>
      <c r="G19" s="234"/>
      <c r="H19" s="234"/>
      <c r="I19" s="234"/>
      <c r="J19" s="242" t="s">
        <v>78</v>
      </c>
      <c r="K19" s="237"/>
      <c r="L19" s="237" t="s">
        <v>147</v>
      </c>
      <c r="M19" s="238"/>
      <c r="N19" s="238"/>
      <c r="O19" s="238"/>
      <c r="P19" s="238"/>
      <c r="Q19" s="238"/>
      <c r="R19" s="238"/>
      <c r="S19" s="208" t="s">
        <v>156</v>
      </c>
      <c r="T19" s="237" t="s">
        <v>159</v>
      </c>
      <c r="U19" s="238"/>
      <c r="V19" s="238"/>
      <c r="W19" s="238"/>
      <c r="X19" s="238"/>
      <c r="Y19" s="238"/>
      <c r="Z19" s="238"/>
      <c r="AA19" s="209" t="s">
        <v>16</v>
      </c>
      <c r="AB19" s="213" t="s">
        <v>196</v>
      </c>
      <c r="AC19" s="236" t="s">
        <v>195</v>
      </c>
      <c r="AD19" s="236"/>
      <c r="AE19" s="236"/>
    </row>
    <row r="20" spans="1:31" ht="12.75" customHeight="1">
      <c r="A20" s="258"/>
      <c r="B20" s="12" t="s">
        <v>7</v>
      </c>
      <c r="C20" s="82" t="s">
        <v>114</v>
      </c>
      <c r="D20" s="24">
        <v>0</v>
      </c>
      <c r="E20" s="17">
        <f>IF(D20=1,AB21,0)*A38/23</f>
        <v>0</v>
      </c>
      <c r="F20" s="16">
        <v>12</v>
      </c>
      <c r="G20" s="17">
        <f>ROUND(E20*F20,2)</f>
        <v>0</v>
      </c>
      <c r="H20" s="17">
        <v>16.75</v>
      </c>
      <c r="I20" s="17">
        <f>ROUND(G20*H20%,2)</f>
        <v>0</v>
      </c>
      <c r="J20" s="242" t="s">
        <v>41</v>
      </c>
      <c r="K20" s="237"/>
      <c r="L20" s="207" t="s">
        <v>320</v>
      </c>
      <c r="M20" s="207" t="s">
        <v>324</v>
      </c>
      <c r="N20" s="207" t="s">
        <v>15</v>
      </c>
      <c r="O20" s="209" t="s">
        <v>287</v>
      </c>
      <c r="P20" s="209" t="s">
        <v>321</v>
      </c>
      <c r="Q20" s="209" t="s">
        <v>319</v>
      </c>
      <c r="R20" s="209" t="s">
        <v>145</v>
      </c>
      <c r="S20" s="209" t="s">
        <v>288</v>
      </c>
      <c r="T20" s="21" t="s">
        <v>322</v>
      </c>
      <c r="U20" s="210" t="s">
        <v>323</v>
      </c>
      <c r="V20" s="209" t="s">
        <v>146</v>
      </c>
      <c r="W20" s="214" t="s">
        <v>152</v>
      </c>
      <c r="X20" s="215" t="s">
        <v>166</v>
      </c>
      <c r="Y20" s="207" t="s">
        <v>106</v>
      </c>
      <c r="Z20" s="207" t="s">
        <v>77</v>
      </c>
      <c r="AA20" s="209" t="s">
        <v>17</v>
      </c>
      <c r="AB20" s="209" t="s">
        <v>197</v>
      </c>
      <c r="AC20" s="209" t="s">
        <v>198</v>
      </c>
      <c r="AD20" s="209" t="s">
        <v>199</v>
      </c>
      <c r="AE20" s="209" t="s">
        <v>200</v>
      </c>
    </row>
    <row r="21" spans="1:31" ht="12.75" customHeight="1">
      <c r="A21" s="258"/>
      <c r="B21" s="12" t="s">
        <v>4</v>
      </c>
      <c r="C21" s="82" t="s">
        <v>172</v>
      </c>
      <c r="D21" s="24">
        <v>0</v>
      </c>
      <c r="E21" s="17">
        <f>IF(D21=1,AC21,IF(D21=2,AD21,IF(D21=3,AE21,0)))*A38/23</f>
        <v>0</v>
      </c>
      <c r="F21" s="16">
        <v>12</v>
      </c>
      <c r="G21" s="17">
        <f>ROUND(E21*F21,2)</f>
        <v>0</v>
      </c>
      <c r="H21" s="17">
        <v>16.75</v>
      </c>
      <c r="I21" s="17">
        <f>ROUND(G21*H21%,2)</f>
        <v>0</v>
      </c>
      <c r="J21" s="243" t="s">
        <v>58</v>
      </c>
      <c r="K21" s="236"/>
      <c r="L21" s="211">
        <v>150</v>
      </c>
      <c r="M21" s="216">
        <v>150</v>
      </c>
      <c r="N21" s="211">
        <v>150</v>
      </c>
      <c r="O21" s="211">
        <v>150</v>
      </c>
      <c r="P21" s="211">
        <v>150</v>
      </c>
      <c r="Q21" s="211">
        <v>150</v>
      </c>
      <c r="R21" s="211">
        <v>150</v>
      </c>
      <c r="S21" s="211">
        <v>150</v>
      </c>
      <c r="T21" s="4">
        <v>150</v>
      </c>
      <c r="U21" s="211">
        <v>350</v>
      </c>
      <c r="V21" s="211">
        <v>165</v>
      </c>
      <c r="W21" s="211">
        <v>165</v>
      </c>
      <c r="X21" s="211">
        <v>165</v>
      </c>
      <c r="Y21" s="211">
        <v>300</v>
      </c>
      <c r="Z21" s="211">
        <v>290</v>
      </c>
      <c r="AA21" s="208" t="s">
        <v>120</v>
      </c>
      <c r="AB21" s="211">
        <v>100</v>
      </c>
      <c r="AC21" s="211">
        <v>150</v>
      </c>
      <c r="AD21" s="211">
        <v>70</v>
      </c>
      <c r="AE21" s="211">
        <v>35</v>
      </c>
    </row>
    <row r="22" spans="1:31" ht="12.75" customHeight="1">
      <c r="A22" s="34"/>
      <c r="B22" s="12"/>
      <c r="C22" s="82" t="s">
        <v>34</v>
      </c>
      <c r="D22" s="24">
        <v>0</v>
      </c>
      <c r="E22" s="17"/>
      <c r="F22" s="16">
        <v>0</v>
      </c>
      <c r="G22" s="17"/>
      <c r="H22" s="17">
        <f>D22</f>
        <v>0</v>
      </c>
      <c r="I22" s="17">
        <f>ROUND(F22*H22,2)</f>
        <v>0</v>
      </c>
      <c r="J22" s="106"/>
      <c r="K22" s="24"/>
      <c r="L22" s="12"/>
      <c r="M22" s="98"/>
      <c r="N22" s="12"/>
      <c r="O22" s="12"/>
      <c r="P22" s="12"/>
      <c r="Q22" s="12"/>
      <c r="R22" s="12"/>
      <c r="S22" s="12"/>
      <c r="T22" s="12"/>
      <c r="U22" s="12"/>
      <c r="V22" s="24"/>
      <c r="W22" s="150"/>
      <c r="X22" s="151"/>
      <c r="Y22" s="151"/>
      <c r="Z22" s="151"/>
      <c r="AA22" s="151"/>
      <c r="AB22" s="144"/>
      <c r="AC22" s="144"/>
      <c r="AD22" s="144"/>
      <c r="AE22" s="144"/>
    </row>
    <row r="23" spans="1:31" ht="12.75" customHeight="1">
      <c r="A23" s="21">
        <v>1</v>
      </c>
      <c r="B23" s="12"/>
      <c r="C23" s="82" t="s">
        <v>60</v>
      </c>
      <c r="D23" s="24">
        <v>0</v>
      </c>
      <c r="E23" s="17"/>
      <c r="F23" s="16">
        <v>12</v>
      </c>
      <c r="G23" s="17"/>
      <c r="H23" s="17">
        <f>D23</f>
        <v>0</v>
      </c>
      <c r="I23" s="17">
        <f>ROUND(F23*H23,2)</f>
        <v>0</v>
      </c>
      <c r="J23" s="106"/>
      <c r="K23" s="24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79"/>
      <c r="Y23" s="11"/>
      <c r="Z23" s="11"/>
      <c r="AA23" s="11"/>
      <c r="AB23" s="84"/>
      <c r="AC23" s="84"/>
      <c r="AD23" s="84"/>
      <c r="AE23" s="84"/>
    </row>
    <row r="24" spans="1:31" ht="12.75" customHeight="1">
      <c r="A24" s="270" t="s">
        <v>82</v>
      </c>
      <c r="B24" s="12"/>
      <c r="C24" s="34" t="s">
        <v>262</v>
      </c>
      <c r="D24" s="56">
        <f>IF($E$33&lt;$I$94,0,$I$94)</f>
        <v>0</v>
      </c>
      <c r="E24" s="17"/>
      <c r="F24" s="16">
        <v>12</v>
      </c>
      <c r="G24" s="17"/>
      <c r="H24" s="17">
        <f>ROUND($D$24*12.47%,2)</f>
        <v>0</v>
      </c>
      <c r="I24" s="17">
        <f>ROUND(F24*H24,2)+ROUND(F24*I76,2)</f>
        <v>312</v>
      </c>
      <c r="J24" s="106" t="s">
        <v>17</v>
      </c>
      <c r="K24" s="12" t="s">
        <v>14</v>
      </c>
      <c r="L24" s="12" t="s">
        <v>13</v>
      </c>
      <c r="M24" s="12" t="s">
        <v>64</v>
      </c>
      <c r="N24" s="12" t="s">
        <v>65</v>
      </c>
      <c r="O24" s="12" t="s">
        <v>66</v>
      </c>
      <c r="P24" s="12" t="s">
        <v>67</v>
      </c>
      <c r="Q24" s="12" t="s">
        <v>68</v>
      </c>
      <c r="R24" s="12" t="s">
        <v>69</v>
      </c>
      <c r="S24" s="12" t="s">
        <v>70</v>
      </c>
      <c r="T24" s="12" t="s">
        <v>71</v>
      </c>
      <c r="U24" s="12" t="s">
        <v>74</v>
      </c>
      <c r="V24" s="12" t="s">
        <v>151</v>
      </c>
      <c r="W24" s="79"/>
      <c r="Y24" s="11"/>
      <c r="Z24" s="11"/>
      <c r="AA24" s="11"/>
      <c r="AB24" s="5"/>
      <c r="AC24" s="5"/>
      <c r="AD24" s="84"/>
      <c r="AE24" s="84"/>
    </row>
    <row r="25" spans="1:31" ht="12.75" customHeight="1">
      <c r="A25" s="272"/>
      <c r="B25" s="12"/>
      <c r="C25" s="82" t="s">
        <v>266</v>
      </c>
      <c r="D25" s="184">
        <v>0</v>
      </c>
      <c r="E25" s="1"/>
      <c r="F25" s="1"/>
      <c r="G25" s="1"/>
      <c r="H25" s="1"/>
      <c r="I25" s="1"/>
      <c r="J25" s="106" t="s">
        <v>72</v>
      </c>
      <c r="K25" s="94">
        <f>K27</f>
        <v>0</v>
      </c>
      <c r="L25" s="17">
        <f t="shared" ref="L25:V25" si="4">K25+L27</f>
        <v>0</v>
      </c>
      <c r="M25" s="17">
        <f t="shared" si="4"/>
        <v>50</v>
      </c>
      <c r="N25" s="17">
        <f t="shared" si="4"/>
        <v>70</v>
      </c>
      <c r="O25" s="17">
        <f t="shared" si="4"/>
        <v>120</v>
      </c>
      <c r="P25" s="17">
        <f t="shared" si="4"/>
        <v>170</v>
      </c>
      <c r="Q25" s="17">
        <f t="shared" si="4"/>
        <v>240</v>
      </c>
      <c r="R25" s="17">
        <f t="shared" si="4"/>
        <v>310</v>
      </c>
      <c r="S25" s="17">
        <f t="shared" si="4"/>
        <v>380</v>
      </c>
      <c r="T25" s="17">
        <f t="shared" si="4"/>
        <v>450</v>
      </c>
      <c r="U25" s="17">
        <f t="shared" si="4"/>
        <v>520</v>
      </c>
      <c r="V25" s="17">
        <f t="shared" si="4"/>
        <v>590</v>
      </c>
      <c r="W25" s="152"/>
      <c r="X25" s="5"/>
      <c r="Y25" s="5"/>
      <c r="Z25" s="5"/>
      <c r="AA25" s="5"/>
      <c r="AB25" s="5"/>
      <c r="AC25" s="5"/>
      <c r="AD25" s="84"/>
      <c r="AE25" s="84"/>
    </row>
    <row r="26" spans="1:31" ht="12.75" customHeight="1">
      <c r="A26" s="272"/>
      <c r="B26" s="12"/>
      <c r="C26" s="34"/>
      <c r="D26" s="24"/>
      <c r="E26" s="17"/>
      <c r="F26" s="16"/>
      <c r="G26" s="17"/>
      <c r="H26" s="17"/>
      <c r="I26" s="17"/>
      <c r="J26" s="106" t="s">
        <v>75</v>
      </c>
      <c r="K26" s="12" t="s">
        <v>14</v>
      </c>
      <c r="L26" s="28" t="s">
        <v>33</v>
      </c>
      <c r="M26" s="28" t="s">
        <v>25</v>
      </c>
      <c r="N26" s="28" t="s">
        <v>26</v>
      </c>
      <c r="O26" s="28" t="s">
        <v>27</v>
      </c>
      <c r="P26" s="28" t="s">
        <v>28</v>
      </c>
      <c r="Q26" s="28" t="s">
        <v>29</v>
      </c>
      <c r="R26" s="28" t="s">
        <v>30</v>
      </c>
      <c r="S26" s="28" t="s">
        <v>31</v>
      </c>
      <c r="T26" s="28" t="s">
        <v>32</v>
      </c>
      <c r="U26" s="28" t="s">
        <v>73</v>
      </c>
      <c r="V26" s="28" t="s">
        <v>150</v>
      </c>
      <c r="W26" s="152"/>
      <c r="X26" s="5"/>
      <c r="Y26" s="5"/>
      <c r="Z26" s="5"/>
      <c r="AA26" s="5"/>
      <c r="AB26" s="5"/>
      <c r="AC26" s="5"/>
      <c r="AD26" s="84"/>
      <c r="AE26" s="84"/>
    </row>
    <row r="27" spans="1:31" ht="12.75" customHeight="1">
      <c r="A27" s="272"/>
      <c r="B27" s="12"/>
      <c r="C27" s="34"/>
      <c r="D27" s="16"/>
      <c r="E27" s="17"/>
      <c r="F27" s="16"/>
      <c r="G27" s="17"/>
      <c r="H27" s="17"/>
      <c r="I27" s="17"/>
      <c r="J27" s="106" t="s">
        <v>76</v>
      </c>
      <c r="K27" s="94">
        <v>0</v>
      </c>
      <c r="L27" s="94">
        <v>0</v>
      </c>
      <c r="M27" s="94">
        <v>50</v>
      </c>
      <c r="N27" s="94">
        <v>20</v>
      </c>
      <c r="O27" s="94">
        <v>50</v>
      </c>
      <c r="P27" s="94">
        <v>50</v>
      </c>
      <c r="Q27" s="94">
        <v>70</v>
      </c>
      <c r="R27" s="94">
        <v>70</v>
      </c>
      <c r="S27" s="94">
        <v>70</v>
      </c>
      <c r="T27" s="94">
        <v>70</v>
      </c>
      <c r="U27" s="94">
        <v>70</v>
      </c>
      <c r="V27" s="94">
        <v>70</v>
      </c>
      <c r="W27" s="152"/>
      <c r="X27" s="5"/>
      <c r="Y27" s="5"/>
      <c r="Z27" s="5"/>
      <c r="AA27" s="5"/>
      <c r="AB27" s="5"/>
      <c r="AC27" s="5"/>
      <c r="AD27" s="84"/>
      <c r="AE27" s="84"/>
    </row>
    <row r="28" spans="1:31" ht="12.75" customHeight="1">
      <c r="A28" s="272"/>
      <c r="B28" s="12"/>
      <c r="C28" s="34"/>
      <c r="D28" s="16"/>
      <c r="E28" s="17"/>
      <c r="F28" s="16"/>
      <c r="G28" s="17"/>
      <c r="H28" s="17"/>
      <c r="I28" s="17"/>
      <c r="J28" s="176"/>
      <c r="K28" s="176"/>
      <c r="L28" s="176"/>
      <c r="M28" s="176"/>
      <c r="N28" s="176"/>
      <c r="O28" s="176"/>
    </row>
    <row r="29" spans="1:31" ht="12.75" customHeight="1">
      <c r="A29" s="272"/>
      <c r="B29" s="34"/>
      <c r="C29" s="34"/>
      <c r="D29" s="16"/>
      <c r="E29" s="17"/>
      <c r="F29" s="16"/>
      <c r="G29" s="17"/>
      <c r="H29" s="17"/>
      <c r="I29" s="17"/>
    </row>
    <row r="30" spans="1:31" ht="12.75" customHeight="1">
      <c r="A30" s="272"/>
      <c r="B30" s="34"/>
      <c r="C30" s="34"/>
      <c r="D30" s="16"/>
      <c r="E30" s="17"/>
      <c r="F30" s="16"/>
      <c r="G30" s="17"/>
      <c r="H30" s="17"/>
      <c r="I30" s="17"/>
    </row>
    <row r="31" spans="1:31" ht="12.75" customHeight="1">
      <c r="A31" s="272"/>
      <c r="B31" s="34"/>
      <c r="C31" s="34"/>
      <c r="D31" s="16"/>
      <c r="E31" s="17"/>
      <c r="F31" s="39"/>
      <c r="G31" s="17"/>
      <c r="H31" s="17"/>
      <c r="I31" s="17"/>
    </row>
    <row r="32" spans="1:31" ht="12.75" customHeight="1">
      <c r="A32" s="272"/>
      <c r="B32" s="34"/>
      <c r="C32" s="34"/>
      <c r="D32" s="16"/>
      <c r="E32" s="154"/>
      <c r="F32" s="16"/>
      <c r="G32" s="17"/>
      <c r="H32" s="16"/>
      <c r="I32" s="16"/>
    </row>
    <row r="33" spans="1:15" ht="12.75" customHeight="1">
      <c r="A33" s="272"/>
      <c r="B33" s="34"/>
      <c r="C33" s="16" t="s">
        <v>208</v>
      </c>
      <c r="D33" s="16"/>
      <c r="E33" s="99">
        <f>E5+E6+E7+E8+E9+E10+E11+E12+E13+E14+E15+E16+E17+E18+E19+E20+E21</f>
        <v>1092</v>
      </c>
      <c r="F33" s="16"/>
      <c r="G33" s="17">
        <f>G5+G8+G11+G13+G15+G16+G18+G20+G21</f>
        <v>13104</v>
      </c>
      <c r="H33" s="17"/>
      <c r="I33" s="17">
        <f>I5+I8+I11+I13+I15+I16+I18+I20+I21+I22+I23+I24</f>
        <v>2506.92</v>
      </c>
    </row>
    <row r="34" spans="1:15" ht="12.75" customHeight="1">
      <c r="A34" s="272"/>
      <c r="B34" s="12"/>
      <c r="C34" s="16"/>
      <c r="D34" s="16"/>
      <c r="E34" s="17"/>
      <c r="F34" s="16"/>
      <c r="G34" s="17"/>
      <c r="H34" s="17"/>
      <c r="I34" s="17"/>
    </row>
    <row r="35" spans="1:15" ht="12.75" customHeight="1">
      <c r="A35" s="272"/>
      <c r="B35" s="12"/>
      <c r="C35" s="122"/>
      <c r="D35" s="16"/>
      <c r="E35" s="17"/>
      <c r="F35" s="16"/>
      <c r="G35" s="16"/>
      <c r="H35" s="16"/>
      <c r="I35" s="16"/>
    </row>
    <row r="36" spans="1:15" ht="12.75" customHeight="1">
      <c r="A36" s="272"/>
      <c r="B36" s="12"/>
      <c r="C36" s="101" t="s">
        <v>222</v>
      </c>
      <c r="D36" s="1"/>
      <c r="E36" s="17">
        <f>G33</f>
        <v>13104</v>
      </c>
      <c r="F36" s="1"/>
      <c r="G36" s="1"/>
      <c r="H36" s="1"/>
      <c r="I36" s="17"/>
    </row>
    <row r="37" spans="1:15" s="15" customFormat="1" ht="12.75" customHeight="1">
      <c r="A37" s="273"/>
      <c r="B37" s="12"/>
      <c r="C37" s="102" t="s">
        <v>223</v>
      </c>
      <c r="D37" s="34"/>
      <c r="E37" s="17">
        <f>ROUND((I73+I75+I76+I78+I80+I82+I86)*12,2)</f>
        <v>2507.04</v>
      </c>
      <c r="F37" s="1"/>
      <c r="G37" s="1"/>
      <c r="H37" s="1"/>
      <c r="I37" s="17"/>
    </row>
    <row r="38" spans="1:15" ht="12.75" customHeight="1">
      <c r="A38" s="33">
        <v>23</v>
      </c>
      <c r="B38" s="12"/>
      <c r="C38" s="103" t="s">
        <v>224</v>
      </c>
      <c r="D38" s="1"/>
      <c r="E38" s="28">
        <f>E36-E37</f>
        <v>10596.96</v>
      </c>
      <c r="F38" s="1"/>
      <c r="G38" s="1"/>
      <c r="H38" s="1"/>
      <c r="I38" s="28"/>
    </row>
    <row r="39" spans="1:15" ht="12.75" customHeight="1">
      <c r="A39" s="257" t="s">
        <v>79</v>
      </c>
      <c r="B39" s="12"/>
      <c r="C39" s="104"/>
      <c r="D39" s="39"/>
      <c r="E39" s="17"/>
      <c r="F39" s="16"/>
      <c r="G39" s="17"/>
      <c r="H39" s="17"/>
      <c r="I39" s="17"/>
    </row>
    <row r="40" spans="1:15" ht="12.75" customHeight="1">
      <c r="A40" s="249"/>
      <c r="B40" s="12"/>
      <c r="C40" s="12" t="s">
        <v>57</v>
      </c>
      <c r="D40" s="12"/>
      <c r="E40" s="181" t="s">
        <v>260</v>
      </c>
      <c r="F40" s="12"/>
      <c r="G40" s="28" t="s">
        <v>207</v>
      </c>
      <c r="H40" s="28" t="s">
        <v>23</v>
      </c>
      <c r="I40" s="28" t="s">
        <v>56</v>
      </c>
    </row>
    <row r="41" spans="1:15" ht="12.75" customHeight="1">
      <c r="A41" s="249"/>
      <c r="B41" s="12"/>
      <c r="C41" s="82" t="s">
        <v>51</v>
      </c>
      <c r="D41" s="105"/>
      <c r="E41" s="17">
        <f>IF($A$23=0,0,IF(D25=0,777,IF(D25=1,810,IF(D25=2,900,IF(D25&gt;=3,900+ROUND((D25-2)*220,2))))))</f>
        <v>777</v>
      </c>
      <c r="F41" s="94"/>
      <c r="G41" s="137">
        <f>IF(E38&lt;10000,E38,10000)</f>
        <v>10000</v>
      </c>
      <c r="H41" s="137">
        <v>9</v>
      </c>
      <c r="I41" s="137">
        <f>IF(ROUND(G41*H41%,2)-E41&lt;0,0,ROUND(G41*H41%,2)-E41)</f>
        <v>123</v>
      </c>
    </row>
    <row r="42" spans="1:15" ht="12.75" customHeight="1">
      <c r="A42" s="249"/>
      <c r="B42" s="12"/>
      <c r="C42" s="82" t="s">
        <v>52</v>
      </c>
      <c r="D42" s="105"/>
      <c r="E42" s="17"/>
      <c r="F42" s="94"/>
      <c r="G42" s="137">
        <f>IF(E38&lt;12000,E38-G41,2000)</f>
        <v>596.95999999999913</v>
      </c>
      <c r="H42" s="137">
        <v>22</v>
      </c>
      <c r="I42" s="137">
        <f>IF(G42=0,0,IF(ROUND(G42*H42%,2)-ROUND((D27-2)*220,2)&lt;0,0,IF(D27&lt;3,ROUND(G42*H42%,2),IF(D27&lt;5,ROUND(G42*H42%,2)-ROUND((D27-2)*220,2),0))))</f>
        <v>131.33000000000001</v>
      </c>
    </row>
    <row r="43" spans="1:15" ht="12.75" customHeight="1">
      <c r="A43" s="249"/>
      <c r="B43" s="12"/>
      <c r="C43" s="82" t="s">
        <v>52</v>
      </c>
      <c r="D43" s="105"/>
      <c r="E43" s="17"/>
      <c r="F43" s="94"/>
      <c r="G43" s="137">
        <f>IF(E38&lt;20000,E38-G41-G42,8000)</f>
        <v>0</v>
      </c>
      <c r="H43" s="137">
        <v>22</v>
      </c>
      <c r="I43" s="137">
        <f>IF(G43=0,0,IF(D27&lt;5,ROUND(G43*H43%,2)+ROUND(FLOOR(G43,1000)*20/1000,2),IF(D27&lt;13,ROUND(G43*H43%,2)-ROUND((D27-4)*220,2)+ROUND(FLOOR(G43,1000)*20/1000,2))))</f>
        <v>0</v>
      </c>
    </row>
    <row r="44" spans="1:15" ht="12.75" customHeight="1">
      <c r="A44" s="249"/>
      <c r="B44" s="12"/>
      <c r="C44" s="82" t="s">
        <v>53</v>
      </c>
      <c r="D44" s="105"/>
      <c r="E44" s="1"/>
      <c r="F44" s="94"/>
      <c r="G44" s="137">
        <f>IF(E38&lt;30000,E38-G41-G42-G43,10000)</f>
        <v>0</v>
      </c>
      <c r="H44" s="137">
        <v>28</v>
      </c>
      <c r="I44" s="137">
        <f>IF(G44=0,0,ROUND(G44*H44%,2)+ROUND(FLOOR(G44,1000)*20/1000,2))</f>
        <v>0</v>
      </c>
      <c r="J44" s="176"/>
      <c r="K44" s="176"/>
      <c r="L44" s="176"/>
      <c r="M44" s="176"/>
      <c r="N44" s="176"/>
      <c r="O44" s="176"/>
    </row>
    <row r="45" spans="1:15" ht="12.75" customHeight="1">
      <c r="A45" s="249"/>
      <c r="B45" s="12"/>
      <c r="C45" s="82" t="s">
        <v>54</v>
      </c>
      <c r="D45" s="105"/>
      <c r="E45" s="17"/>
      <c r="F45" s="94"/>
      <c r="G45" s="137">
        <f>IF(E38&lt;40000,E38-G41-G42-G43-G44,10000)</f>
        <v>0</v>
      </c>
      <c r="H45" s="137">
        <v>36</v>
      </c>
      <c r="I45" s="137">
        <f>IF(G45=0,0,ROUND(G45*H45%,2)+ROUND(FLOOR(G45,1000)*20/1000,2))</f>
        <v>0</v>
      </c>
    </row>
    <row r="46" spans="1:15" ht="12.75" customHeight="1">
      <c r="A46" s="249"/>
      <c r="B46" s="12"/>
      <c r="C46" s="82" t="s">
        <v>291</v>
      </c>
      <c r="D46" s="105"/>
      <c r="E46" s="17"/>
      <c r="F46" s="94"/>
      <c r="G46" s="137">
        <f>IF(E38&lt;50000,E38-G41-G42-G43-G44-G45,10000)</f>
        <v>0</v>
      </c>
      <c r="H46" s="137">
        <v>44</v>
      </c>
      <c r="I46" s="137">
        <f>IF(G46=0,0,ROUND(G46*H46%,2)+ROUND(FLOOR(G46,1000)*20/1000,2))</f>
        <v>0</v>
      </c>
    </row>
    <row r="47" spans="1:15" ht="12.75" customHeight="1">
      <c r="A47" s="249"/>
      <c r="B47" s="12"/>
      <c r="C47" s="82" t="s">
        <v>291</v>
      </c>
      <c r="D47" s="105"/>
      <c r="E47" s="17"/>
      <c r="F47" s="94"/>
      <c r="G47" s="137">
        <f>IF(E38&gt;50000,E38-G41-G42-G43-G44-G45-G46,0)</f>
        <v>0</v>
      </c>
      <c r="H47" s="137">
        <v>44</v>
      </c>
      <c r="I47" s="137">
        <f>ROUND(G47*H47%,2)</f>
        <v>0</v>
      </c>
    </row>
    <row r="48" spans="1:15" ht="12.75" customHeight="1">
      <c r="A48" s="249"/>
      <c r="B48" s="12"/>
      <c r="C48" s="103" t="s">
        <v>204</v>
      </c>
      <c r="D48" s="105"/>
      <c r="E48" s="17"/>
      <c r="F48" s="17"/>
      <c r="G48" s="17">
        <f>G41+G42+G43+G44+G45+G46+G47</f>
        <v>10596.96</v>
      </c>
      <c r="H48" s="17"/>
      <c r="I48" s="17">
        <f>I41+I42+I43+I44+I45+I46+I47</f>
        <v>254.33</v>
      </c>
    </row>
    <row r="49" spans="1:15" ht="12.75" customHeight="1">
      <c r="A49" s="249"/>
      <c r="B49" s="12"/>
      <c r="C49" s="82"/>
      <c r="D49" s="105"/>
      <c r="E49" s="17"/>
      <c r="F49" s="16"/>
      <c r="G49" s="17"/>
      <c r="H49" s="17"/>
      <c r="I49" s="17"/>
    </row>
    <row r="50" spans="1:15" ht="12.75" customHeight="1">
      <c r="A50" s="249"/>
      <c r="B50" s="12"/>
      <c r="C50" s="12" t="s">
        <v>12</v>
      </c>
      <c r="D50" s="12"/>
      <c r="E50" s="17"/>
      <c r="F50" s="16">
        <v>12</v>
      </c>
      <c r="G50" s="28">
        <f>IF($A$54=1,0,ROUND(I48/F50,2))</f>
        <v>21.19</v>
      </c>
      <c r="H50" s="17"/>
      <c r="I50" s="17"/>
    </row>
    <row r="51" spans="1:15" ht="12.75" customHeight="1">
      <c r="A51" s="249"/>
      <c r="B51" s="12"/>
      <c r="C51" s="82"/>
      <c r="D51" s="16"/>
      <c r="E51" s="17"/>
      <c r="F51" s="108"/>
      <c r="G51" s="17"/>
      <c r="H51" s="17"/>
      <c r="I51" s="17"/>
    </row>
    <row r="52" spans="1:15" ht="12.75" customHeight="1">
      <c r="A52" s="249"/>
      <c r="B52" s="12"/>
      <c r="C52" s="82"/>
      <c r="D52" s="16"/>
      <c r="E52" s="17"/>
      <c r="F52" s="16"/>
      <c r="G52" s="17"/>
      <c r="H52" s="17"/>
      <c r="I52" s="17"/>
    </row>
    <row r="53" spans="1:15" ht="12.75" customHeight="1">
      <c r="A53" s="1"/>
      <c r="B53" s="12"/>
      <c r="C53" s="128" t="s">
        <v>258</v>
      </c>
      <c r="D53" s="12"/>
      <c r="E53" s="181"/>
      <c r="F53" s="12"/>
      <c r="G53" s="28" t="s">
        <v>207</v>
      </c>
      <c r="H53" s="28" t="s">
        <v>259</v>
      </c>
      <c r="I53" s="28" t="s">
        <v>257</v>
      </c>
    </row>
    <row r="54" spans="1:15" ht="12.75" customHeight="1">
      <c r="A54" s="24">
        <v>0</v>
      </c>
      <c r="B54" s="12"/>
      <c r="C54" s="1" t="s">
        <v>250</v>
      </c>
      <c r="D54" s="3"/>
      <c r="E54" s="3"/>
      <c r="F54" s="1"/>
      <c r="G54" s="137">
        <f>IF(E38&lt;12000,E38,12000)</f>
        <v>10596.96</v>
      </c>
      <c r="H54" s="180">
        <v>0</v>
      </c>
      <c r="I54" s="137">
        <f>ROUND(G54*H54%,2)</f>
        <v>0</v>
      </c>
    </row>
    <row r="55" spans="1:15" ht="12.75" customHeight="1">
      <c r="A55" s="257" t="s">
        <v>44</v>
      </c>
      <c r="B55" s="12"/>
      <c r="C55" s="1" t="s">
        <v>251</v>
      </c>
      <c r="D55" s="3"/>
      <c r="E55" s="3"/>
      <c r="F55" s="1"/>
      <c r="G55" s="137">
        <f>IF(E38&lt;20000,E38-G54,8000)</f>
        <v>0</v>
      </c>
      <c r="H55" s="180">
        <v>2.2000000000000002</v>
      </c>
      <c r="I55" s="137">
        <f t="shared" ref="I55:I60" si="5">ROUND(G55*H55%,2)</f>
        <v>0</v>
      </c>
    </row>
    <row r="56" spans="1:15" ht="12.75" customHeight="1">
      <c r="A56" s="249"/>
      <c r="B56" s="12"/>
      <c r="C56" s="1" t="s">
        <v>252</v>
      </c>
      <c r="D56" s="3"/>
      <c r="E56" s="3"/>
      <c r="F56" s="1"/>
      <c r="G56" s="137">
        <f>IF(E38&lt;30000,E38-G54-G55,10000)</f>
        <v>0</v>
      </c>
      <c r="H56" s="180">
        <v>5</v>
      </c>
      <c r="I56" s="137">
        <f t="shared" si="5"/>
        <v>0</v>
      </c>
    </row>
    <row r="57" spans="1:15" ht="12.75" customHeight="1">
      <c r="A57" s="249"/>
      <c r="B57" s="12"/>
      <c r="C57" s="1" t="s">
        <v>253</v>
      </c>
      <c r="D57" s="3"/>
      <c r="E57" s="3"/>
      <c r="F57" s="1"/>
      <c r="G57" s="137">
        <f>IF(E38&lt;40000,E38-G54-G55-G56,10000)</f>
        <v>0</v>
      </c>
      <c r="H57" s="180">
        <v>6.5</v>
      </c>
      <c r="I57" s="137">
        <f t="shared" si="5"/>
        <v>0</v>
      </c>
    </row>
    <row r="58" spans="1:15" ht="12.75" customHeight="1">
      <c r="A58" s="249"/>
      <c r="B58" s="12"/>
      <c r="C58" s="1" t="s">
        <v>254</v>
      </c>
      <c r="D58" s="3"/>
      <c r="E58" s="3"/>
      <c r="F58" s="1"/>
      <c r="G58" s="137">
        <f>IF(E38&lt;65000,E38-G54-G55-G56-G57,25000)</f>
        <v>0</v>
      </c>
      <c r="H58" s="180">
        <v>7.5</v>
      </c>
      <c r="I58" s="137">
        <f t="shared" si="5"/>
        <v>0</v>
      </c>
    </row>
    <row r="59" spans="1:15" ht="12.75" customHeight="1">
      <c r="A59" s="249"/>
      <c r="B59" s="12"/>
      <c r="C59" s="1" t="s">
        <v>255</v>
      </c>
      <c r="D59" s="3"/>
      <c r="E59" s="3"/>
      <c r="F59" s="1"/>
      <c r="G59" s="137">
        <f>IF(E38&lt;220000,E38-G54-G55-G56-G57-G58,155000)</f>
        <v>0</v>
      </c>
      <c r="H59" s="180">
        <v>9</v>
      </c>
      <c r="I59" s="137">
        <f t="shared" si="5"/>
        <v>0</v>
      </c>
    </row>
    <row r="60" spans="1:15" ht="12.75" customHeight="1">
      <c r="A60" s="249"/>
      <c r="B60" s="12"/>
      <c r="C60" s="1" t="s">
        <v>256</v>
      </c>
      <c r="D60" s="3"/>
      <c r="E60" s="3"/>
      <c r="F60" s="1"/>
      <c r="G60" s="137">
        <f>IF(E38&gt;220000,E38-G54-G55-G56-G57-G58-G59,0)</f>
        <v>0</v>
      </c>
      <c r="H60" s="180">
        <v>10</v>
      </c>
      <c r="I60" s="137">
        <f t="shared" si="5"/>
        <v>0</v>
      </c>
      <c r="J60" s="176"/>
      <c r="K60" s="176"/>
      <c r="L60" s="176"/>
      <c r="M60" s="176"/>
      <c r="N60" s="176"/>
      <c r="O60" s="176"/>
    </row>
    <row r="61" spans="1:15" ht="12.75" customHeight="1">
      <c r="A61" s="249"/>
      <c r="B61" s="12"/>
      <c r="C61" s="1" t="s">
        <v>267</v>
      </c>
      <c r="D61" s="3"/>
      <c r="E61" s="3"/>
      <c r="F61" s="1"/>
      <c r="G61" s="4">
        <f>G54+G55+G56+G57+G58+G59+G60</f>
        <v>10596.96</v>
      </c>
      <c r="H61" s="3"/>
      <c r="I61" s="4">
        <f>I54+I55+I56+I57+I58+I59+I60</f>
        <v>0</v>
      </c>
      <c r="J61" s="176"/>
      <c r="K61" s="176"/>
      <c r="L61" s="176"/>
      <c r="M61" s="176"/>
      <c r="N61" s="176"/>
      <c r="O61" s="176"/>
    </row>
    <row r="62" spans="1:15" ht="12.75" customHeight="1">
      <c r="A62" s="249"/>
      <c r="B62" s="12"/>
      <c r="C62" s="34"/>
      <c r="D62" s="16"/>
      <c r="E62" s="16"/>
      <c r="F62" s="16"/>
      <c r="G62" s="16"/>
      <c r="H62" s="16"/>
      <c r="I62" s="16"/>
      <c r="J62" s="176"/>
      <c r="K62" s="176"/>
      <c r="L62" s="176"/>
      <c r="M62" s="176"/>
      <c r="N62" s="176"/>
      <c r="O62" s="176"/>
    </row>
    <row r="63" spans="1:15" ht="12.75" customHeight="1">
      <c r="A63" s="249"/>
      <c r="B63" s="12"/>
      <c r="C63" s="126" t="s">
        <v>249</v>
      </c>
      <c r="D63" s="12"/>
      <c r="E63" s="17"/>
      <c r="F63" s="16">
        <v>12</v>
      </c>
      <c r="G63" s="28">
        <f>IF($A$54=1,0,ROUND(I61/F63,2))</f>
        <v>0</v>
      </c>
      <c r="H63" s="17"/>
      <c r="I63" s="17"/>
      <c r="J63" s="176"/>
      <c r="K63" s="176"/>
      <c r="L63" s="176"/>
      <c r="M63" s="176"/>
      <c r="N63" s="176"/>
      <c r="O63" s="176"/>
    </row>
    <row r="64" spans="1:15" ht="12.75" customHeight="1">
      <c r="A64" s="249"/>
      <c r="B64" s="12"/>
      <c r="C64" s="1"/>
      <c r="D64" s="1"/>
      <c r="E64" s="1"/>
      <c r="F64" s="1"/>
      <c r="G64" s="1"/>
      <c r="H64" s="1"/>
      <c r="I64" s="1"/>
      <c r="J64" s="176"/>
      <c r="K64" s="176"/>
      <c r="L64" s="176"/>
      <c r="M64" s="176"/>
      <c r="N64" s="176"/>
      <c r="O64" s="176"/>
    </row>
    <row r="65" spans="1:31" ht="12.75" customHeight="1">
      <c r="A65" s="10"/>
      <c r="B65" s="12"/>
      <c r="C65" s="258"/>
      <c r="D65" s="258"/>
      <c r="E65" s="258"/>
      <c r="F65" s="235"/>
      <c r="G65" s="235"/>
      <c r="H65" s="235"/>
      <c r="I65" s="235"/>
      <c r="J65" s="176"/>
      <c r="K65" s="176"/>
      <c r="L65" s="176"/>
      <c r="M65" s="176"/>
      <c r="N65" s="176"/>
      <c r="O65" s="176"/>
      <c r="S65" s="11"/>
      <c r="T65" s="11"/>
      <c r="U65" s="11"/>
      <c r="V65" s="37"/>
      <c r="W65" s="11"/>
      <c r="X65" s="11"/>
      <c r="Y65" s="11"/>
      <c r="Z65" s="11"/>
      <c r="AA65" s="11"/>
      <c r="AB65" s="84"/>
      <c r="AC65" s="84"/>
      <c r="AD65" s="84"/>
      <c r="AE65" s="84"/>
    </row>
    <row r="66" spans="1:31" ht="24" customHeight="1">
      <c r="A66" s="186"/>
      <c r="B66" s="265" t="s">
        <v>90</v>
      </c>
      <c r="C66" s="266"/>
      <c r="D66" s="266"/>
      <c r="E66" s="267"/>
      <c r="F66" s="259"/>
      <c r="G66" s="260"/>
      <c r="H66" s="260"/>
      <c r="I66" s="260"/>
      <c r="J66" s="156"/>
      <c r="K66" s="156"/>
      <c r="L66" s="156"/>
      <c r="M66" s="156"/>
      <c r="N66" s="156"/>
      <c r="O66" s="156"/>
      <c r="P66" s="11"/>
      <c r="Q66" s="11"/>
      <c r="R66" s="11"/>
      <c r="S66" s="11"/>
      <c r="T66" s="11"/>
      <c r="U66" s="11"/>
      <c r="V66" s="37"/>
      <c r="W66" s="11"/>
      <c r="X66" s="11"/>
      <c r="Y66" s="11"/>
      <c r="Z66" s="11"/>
      <c r="AA66" s="11"/>
      <c r="AB66" s="37"/>
      <c r="AC66" s="84"/>
      <c r="AD66" s="84"/>
      <c r="AE66" s="84"/>
    </row>
    <row r="67" spans="1:31" ht="24" customHeight="1">
      <c r="A67" s="35"/>
      <c r="B67" s="265" t="s">
        <v>125</v>
      </c>
      <c r="C67" s="266"/>
      <c r="D67" s="266"/>
      <c r="E67" s="267"/>
      <c r="F67" s="259"/>
      <c r="G67" s="260"/>
      <c r="H67" s="260"/>
      <c r="I67" s="260"/>
      <c r="J67" s="175"/>
      <c r="K67" s="175"/>
      <c r="L67" s="175"/>
      <c r="M67" s="175"/>
      <c r="N67" s="175"/>
      <c r="O67" s="175"/>
      <c r="P67" s="14"/>
      <c r="Q67" s="14"/>
      <c r="R67" s="14"/>
      <c r="S67" s="14"/>
      <c r="T67" s="14"/>
      <c r="U67" s="14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1:31" ht="24" customHeight="1">
      <c r="A68" s="35"/>
      <c r="B68" s="265" t="s">
        <v>46</v>
      </c>
      <c r="C68" s="266"/>
      <c r="D68" s="266"/>
      <c r="E68" s="267"/>
      <c r="F68" s="259"/>
      <c r="G68" s="260"/>
      <c r="H68" s="260"/>
      <c r="I68" s="260"/>
      <c r="J68" s="156"/>
      <c r="K68" s="156"/>
      <c r="L68" s="156"/>
      <c r="M68" s="156"/>
      <c r="N68" s="156"/>
      <c r="O68" s="156"/>
      <c r="P68" s="11"/>
      <c r="Q68" s="11"/>
      <c r="R68" s="11"/>
      <c r="S68" s="11"/>
      <c r="T68" s="11"/>
      <c r="U68" s="11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1:31" s="5" customFormat="1" ht="24" customHeight="1">
      <c r="B69" s="253" t="s">
        <v>35</v>
      </c>
      <c r="C69" s="253"/>
      <c r="D69" s="253"/>
      <c r="E69" s="253"/>
      <c r="F69" s="253"/>
      <c r="G69" s="253"/>
      <c r="H69" s="253"/>
      <c r="I69" s="253"/>
      <c r="J69" s="261" t="s">
        <v>205</v>
      </c>
      <c r="K69" s="262"/>
      <c r="L69" s="337" t="s">
        <v>191</v>
      </c>
      <c r="M69" s="338"/>
      <c r="N69" s="338"/>
      <c r="O69" s="338"/>
      <c r="P69" s="338"/>
      <c r="Q69" s="339"/>
      <c r="U69" s="11"/>
      <c r="V69" s="84"/>
      <c r="W69" s="84"/>
      <c r="X69" s="84"/>
      <c r="Y69" s="84"/>
      <c r="Z69" s="84"/>
      <c r="AA69" s="84"/>
      <c r="AB69" s="84"/>
      <c r="AC69" s="84"/>
      <c r="AD69" s="84"/>
      <c r="AE69" s="84"/>
    </row>
    <row r="70" spans="1:31" s="5" customFormat="1" ht="12.75" customHeight="1">
      <c r="B70" s="12"/>
      <c r="C70" s="12" t="s">
        <v>38</v>
      </c>
      <c r="D70" s="20" t="s">
        <v>100</v>
      </c>
      <c r="E70" s="12" t="s">
        <v>0</v>
      </c>
      <c r="F70" s="269" t="s">
        <v>37</v>
      </c>
      <c r="G70" s="269"/>
      <c r="H70" s="28" t="s">
        <v>10</v>
      </c>
      <c r="I70" s="28" t="s">
        <v>11</v>
      </c>
      <c r="J70" s="274" t="s">
        <v>92</v>
      </c>
      <c r="K70" s="276" t="s">
        <v>94</v>
      </c>
      <c r="L70" s="331" t="s">
        <v>177</v>
      </c>
      <c r="M70" s="330" t="s">
        <v>178</v>
      </c>
      <c r="N70" s="341"/>
      <c r="O70" s="340" t="s">
        <v>194</v>
      </c>
      <c r="P70" s="340"/>
      <c r="Q70" s="340"/>
      <c r="U70" s="11"/>
      <c r="V70" s="84"/>
      <c r="W70" s="84"/>
      <c r="X70" s="84"/>
      <c r="Y70" s="84"/>
      <c r="Z70" s="84"/>
      <c r="AA70" s="84"/>
      <c r="AB70" s="84"/>
      <c r="AC70" s="84"/>
      <c r="AD70" s="84"/>
      <c r="AE70" s="84"/>
    </row>
    <row r="71" spans="1:31" s="5" customFormat="1" ht="12.75" customHeight="1">
      <c r="B71" s="12" t="s">
        <v>3</v>
      </c>
      <c r="C71" s="82" t="s">
        <v>169</v>
      </c>
      <c r="D71" s="16">
        <f>D5</f>
        <v>1</v>
      </c>
      <c r="E71" s="17">
        <f>ROUND((E5+E6+E7+E8+E9+E10+E11+E12+E13+E14)*A92/30,2)</f>
        <v>1092</v>
      </c>
      <c r="F71" s="268" t="s">
        <v>56</v>
      </c>
      <c r="G71" s="268"/>
      <c r="H71" s="94"/>
      <c r="I71" s="94">
        <f>ROUND(G50*A92/30,2)</f>
        <v>21.19</v>
      </c>
      <c r="J71" s="275"/>
      <c r="K71" s="277"/>
      <c r="L71" s="331"/>
      <c r="M71" s="330"/>
      <c r="N71" s="341"/>
      <c r="O71" s="141" t="s">
        <v>192</v>
      </c>
      <c r="P71" s="141" t="s">
        <v>193</v>
      </c>
      <c r="Q71" s="140" t="s">
        <v>2</v>
      </c>
      <c r="U71" s="11"/>
      <c r="V71" s="84"/>
      <c r="W71" s="84"/>
      <c r="X71" s="84"/>
      <c r="Y71" s="84"/>
      <c r="Z71" s="84"/>
      <c r="AA71" s="84"/>
      <c r="AB71" s="84"/>
      <c r="AC71" s="84"/>
      <c r="AD71" s="84"/>
      <c r="AE71" s="84"/>
    </row>
    <row r="72" spans="1:31" s="5" customFormat="1" ht="12.75" customHeight="1">
      <c r="B72" s="12" t="s">
        <v>4</v>
      </c>
      <c r="C72" s="82" t="s">
        <v>243</v>
      </c>
      <c r="D72" s="1"/>
      <c r="E72" s="17">
        <f>ROUND(E15*A92/30,2)</f>
        <v>0</v>
      </c>
      <c r="F72" s="263" t="s">
        <v>279</v>
      </c>
      <c r="G72" s="263"/>
      <c r="H72" s="17">
        <v>4.55</v>
      </c>
      <c r="I72" s="17">
        <f>IF(D24&lt;$I$94,ROUND((E71+E72+E73+E74+E75+E76)*H72%,2),ROUND(D24*H72%,2))</f>
        <v>49.69</v>
      </c>
      <c r="J72" s="275"/>
      <c r="K72" s="277"/>
      <c r="L72" s="330" t="s">
        <v>306</v>
      </c>
      <c r="M72" s="331" t="s">
        <v>274</v>
      </c>
      <c r="N72" s="332"/>
      <c r="O72" s="139"/>
      <c r="P72" s="139"/>
      <c r="Q72" s="142"/>
      <c r="W72" s="84"/>
      <c r="X72" s="84"/>
      <c r="Y72" s="84"/>
      <c r="Z72" s="84"/>
      <c r="AA72" s="84"/>
      <c r="AB72" s="84"/>
      <c r="AC72" s="84"/>
      <c r="AD72" s="84"/>
      <c r="AE72" s="84"/>
    </row>
    <row r="73" spans="1:31" s="5" customFormat="1" ht="12.75" customHeight="1">
      <c r="B73" s="12" t="s">
        <v>5</v>
      </c>
      <c r="C73" s="82" t="s">
        <v>59</v>
      </c>
      <c r="D73" s="16"/>
      <c r="E73" s="17">
        <f>ROUND((E16+E17)*A92/30,2)</f>
        <v>0</v>
      </c>
      <c r="F73" s="263" t="s">
        <v>280</v>
      </c>
      <c r="G73" s="263"/>
      <c r="H73" s="17">
        <v>2.5499999999999998</v>
      </c>
      <c r="I73" s="17">
        <f>IF(D24&lt;$I$94,ROUND((E71+E72+E73+E74+E75+E76)*H73%,2),ROUND(D24*H73%,2))</f>
        <v>27.85</v>
      </c>
      <c r="J73" s="275"/>
      <c r="K73" s="277"/>
      <c r="L73" s="330"/>
      <c r="M73" s="331" t="s">
        <v>275</v>
      </c>
      <c r="N73" s="332"/>
      <c r="O73" s="139">
        <v>0.4</v>
      </c>
      <c r="P73" s="139">
        <v>0.25</v>
      </c>
      <c r="Q73" s="142">
        <f>SUM(O73:P73)</f>
        <v>0.65</v>
      </c>
      <c r="W73" s="84"/>
      <c r="X73" s="84"/>
      <c r="Y73" s="84"/>
      <c r="Z73" s="84"/>
      <c r="AA73" s="84"/>
      <c r="AB73" s="84"/>
      <c r="AC73" s="84"/>
      <c r="AD73" s="84"/>
      <c r="AE73" s="84"/>
    </row>
    <row r="74" spans="1:31" s="5" customFormat="1" ht="12.75" customHeight="1">
      <c r="B74" s="12" t="s">
        <v>6</v>
      </c>
      <c r="C74" s="82" t="s">
        <v>58</v>
      </c>
      <c r="D74" s="111"/>
      <c r="E74" s="17">
        <f>ROUND((E18+E19)*A92/30,2)</f>
        <v>0</v>
      </c>
      <c r="F74" s="263" t="s">
        <v>84</v>
      </c>
      <c r="G74" s="263"/>
      <c r="H74" s="17">
        <v>3</v>
      </c>
      <c r="I74" s="17">
        <f>IF(D24&lt;$I$94,ROUND((E71+E72+E73+E74+E75+E76)*H74%,2),ROUND(D24*H74%,2))</f>
        <v>32.76</v>
      </c>
      <c r="J74" s="255" t="s">
        <v>93</v>
      </c>
      <c r="K74" s="256">
        <v>30</v>
      </c>
      <c r="L74" s="330"/>
      <c r="M74" s="331" t="s">
        <v>187</v>
      </c>
      <c r="N74" s="332"/>
      <c r="O74" s="139"/>
      <c r="P74" s="139"/>
      <c r="Q74" s="142"/>
      <c r="W74" s="84"/>
      <c r="X74" s="84"/>
      <c r="Y74" s="84"/>
      <c r="Z74" s="84"/>
      <c r="AA74" s="84"/>
      <c r="AB74" s="84"/>
      <c r="AC74" s="84"/>
      <c r="AD74" s="84"/>
      <c r="AE74" s="84"/>
    </row>
    <row r="75" spans="1:31" s="5" customFormat="1" ht="12.75" customHeight="1">
      <c r="B75" s="12" t="s">
        <v>7</v>
      </c>
      <c r="C75" s="82" t="s">
        <v>114</v>
      </c>
      <c r="D75" s="16"/>
      <c r="E75" s="17">
        <f>ROUND(E20*A92/30,2)</f>
        <v>0</v>
      </c>
      <c r="F75" s="263" t="s">
        <v>85</v>
      </c>
      <c r="G75" s="263"/>
      <c r="H75" s="17">
        <v>3</v>
      </c>
      <c r="I75" s="17">
        <f>IF(D24&lt;$I$94,ROUND((E71+E72+E73+E74+E75+E76)*H75%,2),ROUND(D24*H75%,2))</f>
        <v>32.76</v>
      </c>
      <c r="J75" s="255"/>
      <c r="K75" s="256"/>
      <c r="L75" s="330"/>
      <c r="M75" s="331" t="s">
        <v>290</v>
      </c>
      <c r="N75" s="332"/>
      <c r="O75" s="139"/>
      <c r="P75" s="139"/>
      <c r="Q75" s="142"/>
      <c r="U75" s="11"/>
      <c r="V75" s="84"/>
      <c r="W75" s="84"/>
      <c r="X75" s="84"/>
      <c r="Y75" s="84"/>
      <c r="Z75" s="84"/>
      <c r="AA75" s="84"/>
      <c r="AB75" s="84"/>
      <c r="AC75" s="84"/>
      <c r="AD75" s="84"/>
      <c r="AE75" s="84"/>
    </row>
    <row r="76" spans="1:31" s="5" customFormat="1" ht="12.75" customHeight="1">
      <c r="B76" s="12" t="s">
        <v>5</v>
      </c>
      <c r="C76" s="1" t="s">
        <v>172</v>
      </c>
      <c r="D76" s="1"/>
      <c r="E76" s="17">
        <f>ROUND(E21*A92/30,2)</f>
        <v>0</v>
      </c>
      <c r="F76" s="263" t="s">
        <v>278</v>
      </c>
      <c r="G76" s="263"/>
      <c r="H76" s="17">
        <v>4</v>
      </c>
      <c r="I76" s="17">
        <f>IF($A$23=0,0,ROUND(650*H76%,2))</f>
        <v>26</v>
      </c>
      <c r="J76" s="255" t="s">
        <v>91</v>
      </c>
      <c r="K76" s="254">
        <f>ROUND(((E88+E78+E79+I75+I78)*30/K74)/25,2)</f>
        <v>55.04</v>
      </c>
      <c r="L76" s="330" t="s">
        <v>180</v>
      </c>
      <c r="M76" s="331" t="s">
        <v>181</v>
      </c>
      <c r="N76" s="332"/>
      <c r="O76" s="139">
        <v>1.83</v>
      </c>
      <c r="P76" s="139">
        <v>3.17</v>
      </c>
      <c r="Q76" s="142">
        <f t="shared" ref="Q76:Q82" si="6">SUM(O76:P76)</f>
        <v>5</v>
      </c>
      <c r="U76" s="11"/>
      <c r="V76" s="84"/>
      <c r="W76" s="84"/>
      <c r="X76" s="84"/>
      <c r="Y76" s="84"/>
      <c r="Z76" s="84"/>
      <c r="AA76" s="84"/>
      <c r="AB76" s="84"/>
      <c r="AC76" s="84"/>
      <c r="AD76" s="84"/>
      <c r="AE76" s="84"/>
    </row>
    <row r="77" spans="1:31" s="5" customFormat="1" ht="12.75" customHeight="1">
      <c r="B77" s="34"/>
      <c r="C77" s="82" t="s">
        <v>281</v>
      </c>
      <c r="D77" s="100"/>
      <c r="E77" s="17">
        <f>I72</f>
        <v>49.69</v>
      </c>
      <c r="F77" s="263" t="s">
        <v>86</v>
      </c>
      <c r="G77" s="263"/>
      <c r="H77" s="17">
        <v>13.33</v>
      </c>
      <c r="I77" s="17">
        <f>IF(D24&lt;$I$94,ROUND((E71+E72+E73+E74+E75+E76)*H77%,2),ROUND(D24*H77%,2))</f>
        <v>145.56</v>
      </c>
      <c r="J77" s="255"/>
      <c r="K77" s="254"/>
      <c r="L77" s="330"/>
      <c r="M77" s="331" t="s">
        <v>182</v>
      </c>
      <c r="N77" s="332"/>
      <c r="O77" s="139" t="s">
        <v>179</v>
      </c>
      <c r="P77" s="139" t="s">
        <v>179</v>
      </c>
      <c r="Q77" s="142">
        <f t="shared" si="6"/>
        <v>0</v>
      </c>
      <c r="U77" s="11"/>
      <c r="V77" s="84"/>
      <c r="W77" s="84"/>
      <c r="X77" s="84"/>
      <c r="Y77" s="84"/>
      <c r="Z77" s="84"/>
      <c r="AA77" s="84"/>
      <c r="AB77" s="84"/>
      <c r="AC77" s="84"/>
      <c r="AD77" s="84"/>
      <c r="AE77" s="84"/>
    </row>
    <row r="78" spans="1:31" s="5" customFormat="1" ht="12.75" customHeight="1">
      <c r="B78" s="34"/>
      <c r="C78" s="82" t="s">
        <v>282</v>
      </c>
      <c r="D78" s="16"/>
      <c r="E78" s="17">
        <f>I74</f>
        <v>32.76</v>
      </c>
      <c r="F78" s="263" t="s">
        <v>87</v>
      </c>
      <c r="G78" s="263"/>
      <c r="H78" s="17">
        <v>6.67</v>
      </c>
      <c r="I78" s="17">
        <f>IF(D24&lt;$I$94,ROUND((E71+E72+E73+E74+E75+E76)*H78%,2),ROUND(D24*H78%,2))</f>
        <v>72.84</v>
      </c>
      <c r="J78" s="157" t="s">
        <v>107</v>
      </c>
      <c r="K78" s="24" t="s">
        <v>96</v>
      </c>
      <c r="L78" s="330"/>
      <c r="M78" s="331" t="s">
        <v>188</v>
      </c>
      <c r="N78" s="332"/>
      <c r="O78" s="139" t="s">
        <v>179</v>
      </c>
      <c r="P78" s="139" t="s">
        <v>179</v>
      </c>
      <c r="Q78" s="142">
        <f t="shared" si="6"/>
        <v>0</v>
      </c>
      <c r="U78" s="11"/>
      <c r="V78" s="84"/>
      <c r="W78" s="84"/>
      <c r="X78" s="84"/>
      <c r="Y78" s="84"/>
      <c r="Z78" s="84"/>
      <c r="AA78" s="84"/>
      <c r="AB78" s="84"/>
      <c r="AC78" s="84"/>
      <c r="AD78" s="84"/>
      <c r="AE78" s="84"/>
    </row>
    <row r="79" spans="1:31" s="6" customFormat="1" ht="12.75" customHeight="1">
      <c r="B79" s="12"/>
      <c r="C79" s="82" t="s">
        <v>88</v>
      </c>
      <c r="D79" s="16"/>
      <c r="E79" s="17">
        <f>I77</f>
        <v>145.56</v>
      </c>
      <c r="F79" s="263" t="s">
        <v>308</v>
      </c>
      <c r="G79" s="263"/>
      <c r="H79" s="17">
        <f>H73+H76+H78</f>
        <v>13.219999999999999</v>
      </c>
      <c r="I79" s="17">
        <f>I73+I75+I76+I78</f>
        <v>159.44999999999999</v>
      </c>
      <c r="J79" s="156"/>
      <c r="K79" s="156"/>
      <c r="L79" s="330"/>
      <c r="M79" s="331" t="s">
        <v>189</v>
      </c>
      <c r="N79" s="332"/>
      <c r="O79" s="139" t="s">
        <v>179</v>
      </c>
      <c r="P79" s="139">
        <v>0.15</v>
      </c>
      <c r="Q79" s="142">
        <f t="shared" si="6"/>
        <v>0.15</v>
      </c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</row>
    <row r="80" spans="1:31" s="6" customFormat="1" ht="12.75" customHeight="1">
      <c r="B80" s="12"/>
      <c r="C80" s="82" t="s">
        <v>307</v>
      </c>
      <c r="D80" s="187"/>
      <c r="E80" s="224">
        <f>E77+E78+E79</f>
        <v>228.01</v>
      </c>
      <c r="F80" s="263" t="s">
        <v>124</v>
      </c>
      <c r="G80" s="263"/>
      <c r="H80" s="17">
        <v>1</v>
      </c>
      <c r="I80" s="17">
        <f>ROUND((E71+E72+E73+E74+E75+E76)*H80%,2)</f>
        <v>10.92</v>
      </c>
      <c r="J80" s="171"/>
      <c r="K80" s="171"/>
      <c r="L80" s="330"/>
      <c r="M80" s="336" t="s">
        <v>190</v>
      </c>
      <c r="N80" s="332"/>
      <c r="O80" s="139">
        <v>0.1</v>
      </c>
      <c r="P80" s="139">
        <v>0.36</v>
      </c>
      <c r="Q80" s="142">
        <f t="shared" si="6"/>
        <v>0.45999999999999996</v>
      </c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</row>
    <row r="81" spans="1:31" s="5" customFormat="1" ht="12.75" customHeight="1">
      <c r="A81" s="37"/>
      <c r="B81" s="12"/>
      <c r="C81" s="82" t="s">
        <v>295</v>
      </c>
      <c r="D81" s="16"/>
      <c r="E81" s="99">
        <f>I85</f>
        <v>42.92</v>
      </c>
      <c r="F81" s="263" t="s">
        <v>176</v>
      </c>
      <c r="G81" s="263"/>
      <c r="H81" s="17"/>
      <c r="I81" s="17">
        <f>H22</f>
        <v>0</v>
      </c>
      <c r="J81" s="171"/>
      <c r="K81" s="171"/>
      <c r="L81" s="220" t="s">
        <v>183</v>
      </c>
      <c r="M81" s="335" t="s">
        <v>184</v>
      </c>
      <c r="N81" s="334"/>
      <c r="O81" s="139">
        <v>0.85</v>
      </c>
      <c r="P81" s="139" t="s">
        <v>179</v>
      </c>
      <c r="Q81" s="142">
        <f t="shared" si="6"/>
        <v>0.85</v>
      </c>
      <c r="AA81" s="84"/>
      <c r="AB81" s="84"/>
      <c r="AC81" s="84"/>
      <c r="AD81" s="84"/>
      <c r="AE81" s="84"/>
    </row>
    <row r="82" spans="1:31" s="5" customFormat="1" ht="12.75" customHeight="1">
      <c r="B82" s="12"/>
      <c r="C82" s="34"/>
      <c r="D82" s="16"/>
      <c r="E82" s="16"/>
      <c r="F82" s="263" t="s">
        <v>43</v>
      </c>
      <c r="G82" s="263"/>
      <c r="H82" s="17"/>
      <c r="I82" s="17">
        <f>H23</f>
        <v>0</v>
      </c>
      <c r="J82" s="171"/>
      <c r="K82" s="171"/>
      <c r="L82" s="220" t="s">
        <v>185</v>
      </c>
      <c r="M82" s="335" t="s">
        <v>186</v>
      </c>
      <c r="N82" s="334"/>
      <c r="O82" s="139">
        <v>0.35</v>
      </c>
      <c r="P82" s="139" t="s">
        <v>179</v>
      </c>
      <c r="Q82" s="142">
        <f t="shared" si="6"/>
        <v>0.35</v>
      </c>
      <c r="AA82" s="84"/>
      <c r="AB82" s="84"/>
      <c r="AC82" s="84"/>
      <c r="AD82" s="84"/>
      <c r="AE82" s="84"/>
    </row>
    <row r="83" spans="1:31" s="5" customFormat="1" ht="12.75" customHeight="1">
      <c r="B83" s="34"/>
      <c r="C83" s="34"/>
      <c r="D83" s="16"/>
      <c r="E83" s="16"/>
      <c r="F83" s="263" t="s">
        <v>42</v>
      </c>
      <c r="G83" s="263"/>
      <c r="H83" s="17"/>
      <c r="I83" s="17">
        <v>0</v>
      </c>
      <c r="J83" s="171"/>
      <c r="K83" s="171"/>
      <c r="L83" s="221" t="s">
        <v>2</v>
      </c>
      <c r="M83" s="333" t="s">
        <v>194</v>
      </c>
      <c r="N83" s="334"/>
      <c r="O83" s="229">
        <f>SUM(O72:O82)</f>
        <v>3.5300000000000002</v>
      </c>
      <c r="P83" s="229">
        <f>SUM(P72:P82)</f>
        <v>3.9299999999999997</v>
      </c>
      <c r="Q83" s="229">
        <f>SUM(Q72:Q82)</f>
        <v>7.46</v>
      </c>
      <c r="AB83" s="84"/>
      <c r="AC83" s="84"/>
      <c r="AD83" s="84"/>
      <c r="AE83" s="84"/>
    </row>
    <row r="84" spans="1:31" s="5" customFormat="1" ht="12.75" customHeight="1">
      <c r="B84" s="34"/>
      <c r="C84" s="34"/>
      <c r="D84" s="16"/>
      <c r="E84" s="16"/>
      <c r="F84" s="263" t="s">
        <v>174</v>
      </c>
      <c r="G84" s="263"/>
      <c r="H84" s="17"/>
      <c r="I84" s="17">
        <f>ROUND(G63*A92/30,2)</f>
        <v>0</v>
      </c>
      <c r="J84" s="171"/>
      <c r="K84" s="171"/>
      <c r="L84" s="172"/>
      <c r="M84" s="172"/>
      <c r="N84" s="218"/>
      <c r="O84" s="218"/>
      <c r="AB84" s="84"/>
      <c r="AC84" s="84"/>
      <c r="AD84" s="84"/>
      <c r="AE84" s="84"/>
    </row>
    <row r="85" spans="1:31" s="5" customFormat="1" ht="12.75" customHeight="1">
      <c r="B85" s="34"/>
      <c r="C85" s="34"/>
      <c r="D85" s="16"/>
      <c r="E85" s="16"/>
      <c r="F85" s="263" t="s">
        <v>312</v>
      </c>
      <c r="G85" s="263"/>
      <c r="H85" s="17">
        <v>3.93</v>
      </c>
      <c r="I85" s="17">
        <f>ROUND((E71+E72+E73+E74+E75+E76)*H85%,2)</f>
        <v>42.92</v>
      </c>
      <c r="J85" s="171"/>
      <c r="K85" s="171"/>
      <c r="L85" s="172"/>
      <c r="M85" s="172"/>
      <c r="N85" s="218"/>
      <c r="O85" s="218"/>
      <c r="AB85" s="84"/>
      <c r="AC85" s="84"/>
      <c r="AD85" s="84"/>
      <c r="AE85" s="84"/>
    </row>
    <row r="86" spans="1:31" s="5" customFormat="1" ht="12.75" customHeight="1">
      <c r="B86" s="34"/>
      <c r="C86" s="34"/>
      <c r="D86" s="16"/>
      <c r="E86" s="16"/>
      <c r="F86" s="263" t="s">
        <v>313</v>
      </c>
      <c r="G86" s="263"/>
      <c r="H86" s="17">
        <v>3.53</v>
      </c>
      <c r="I86" s="17">
        <f>ROUND((E71+E72+E73+E74+E75+E76)*H86%,2)</f>
        <v>38.549999999999997</v>
      </c>
      <c r="J86" s="171"/>
      <c r="K86" s="171"/>
      <c r="L86" s="172"/>
      <c r="M86" s="172"/>
      <c r="N86" s="218"/>
      <c r="O86" s="218"/>
      <c r="AB86" s="84"/>
      <c r="AC86" s="84"/>
      <c r="AD86" s="84"/>
      <c r="AE86" s="84"/>
    </row>
    <row r="87" spans="1:31" s="5" customFormat="1" ht="12.75" customHeight="1">
      <c r="B87" s="34"/>
      <c r="C87" s="1"/>
      <c r="D87" s="1"/>
      <c r="E87" s="1"/>
      <c r="F87" s="263" t="s">
        <v>314</v>
      </c>
      <c r="G87" s="263"/>
      <c r="H87" s="17">
        <f>H85+H86</f>
        <v>7.46</v>
      </c>
      <c r="I87" s="17">
        <f>I85+I86</f>
        <v>81.47</v>
      </c>
      <c r="J87" s="171"/>
      <c r="K87" s="172"/>
      <c r="L87" s="172"/>
      <c r="M87" s="172"/>
      <c r="N87" s="218"/>
      <c r="O87" s="218"/>
      <c r="AB87" s="84"/>
      <c r="AC87" s="84"/>
      <c r="AD87" s="84"/>
      <c r="AE87" s="84"/>
    </row>
    <row r="88" spans="1:31" s="5" customFormat="1" ht="12.75" customHeight="1">
      <c r="A88" s="25"/>
      <c r="B88" s="34"/>
      <c r="C88" s="82" t="s">
        <v>47</v>
      </c>
      <c r="D88" s="16"/>
      <c r="E88" s="99">
        <f>E71+E72+E73+E74+E75+E76</f>
        <v>1092</v>
      </c>
      <c r="F88" s="263" t="s">
        <v>48</v>
      </c>
      <c r="G88" s="263"/>
      <c r="H88" s="234"/>
      <c r="I88" s="99">
        <f>I71+I79+I80+I81+I82+I83+I84+I86</f>
        <v>230.10999999999996</v>
      </c>
      <c r="J88" s="171"/>
      <c r="K88" s="172"/>
      <c r="L88" s="172"/>
      <c r="M88" s="172"/>
      <c r="N88" s="218"/>
      <c r="O88" s="218"/>
      <c r="AB88" s="84"/>
      <c r="AC88" s="84"/>
      <c r="AD88" s="84"/>
      <c r="AE88" s="84"/>
    </row>
    <row r="89" spans="1:31" s="5" customFormat="1" ht="12.75" customHeight="1">
      <c r="A89" s="25"/>
      <c r="B89" s="34"/>
      <c r="C89" s="1"/>
      <c r="D89" s="1"/>
      <c r="E89" s="1"/>
      <c r="F89" s="263"/>
      <c r="G89" s="263"/>
      <c r="H89" s="263"/>
      <c r="I89" s="1"/>
      <c r="J89" s="171"/>
      <c r="K89" s="171"/>
      <c r="L89" s="171"/>
      <c r="M89" s="171"/>
      <c r="N89" s="113"/>
      <c r="O89" s="218"/>
      <c r="U89" s="11"/>
      <c r="V89" s="84"/>
      <c r="W89" s="84"/>
      <c r="X89" s="84"/>
      <c r="Y89" s="84"/>
      <c r="Z89" s="84"/>
      <c r="AA89" s="84"/>
      <c r="AB89" s="84"/>
      <c r="AC89" s="84"/>
      <c r="AD89" s="84"/>
      <c r="AE89" s="84"/>
    </row>
    <row r="90" spans="1:31" s="5" customFormat="1" ht="11.25" customHeight="1">
      <c r="A90" s="25"/>
      <c r="B90" s="12"/>
      <c r="C90" s="82" t="s">
        <v>47</v>
      </c>
      <c r="D90" s="16"/>
      <c r="E90" s="17">
        <f>E88</f>
        <v>1092</v>
      </c>
      <c r="F90" s="263"/>
      <c r="G90" s="263"/>
      <c r="H90" s="263"/>
      <c r="I90" s="17"/>
      <c r="J90" s="171"/>
      <c r="K90" s="171"/>
      <c r="L90" s="171"/>
      <c r="M90" s="171"/>
      <c r="N90" s="113"/>
      <c r="O90" s="218"/>
      <c r="U90" s="11"/>
      <c r="V90" s="84"/>
      <c r="W90" s="84"/>
      <c r="X90" s="84"/>
      <c r="Y90" s="84"/>
      <c r="Z90" s="84"/>
      <c r="AA90" s="84"/>
      <c r="AB90" s="84"/>
      <c r="AC90" s="84"/>
      <c r="AD90" s="84"/>
      <c r="AE90" s="84"/>
    </row>
    <row r="91" spans="1:31" s="5" customFormat="1" ht="12.75" customHeight="1">
      <c r="A91" s="25"/>
      <c r="B91" s="12"/>
      <c r="C91" s="82" t="s">
        <v>48</v>
      </c>
      <c r="D91" s="16"/>
      <c r="E91" s="17">
        <f>I88</f>
        <v>230.10999999999996</v>
      </c>
      <c r="F91" s="268"/>
      <c r="G91" s="263"/>
      <c r="H91" s="263"/>
      <c r="I91" s="17"/>
      <c r="J91" s="171"/>
      <c r="K91" s="171"/>
      <c r="L91" s="171"/>
      <c r="M91" s="171"/>
      <c r="N91" s="113"/>
      <c r="O91" s="218"/>
      <c r="U91" s="11"/>
      <c r="V91" s="84"/>
      <c r="W91" s="84"/>
      <c r="X91" s="84"/>
      <c r="Y91" s="84"/>
      <c r="Z91" s="84"/>
      <c r="AA91" s="84"/>
      <c r="AB91" s="84"/>
      <c r="AC91" s="84"/>
      <c r="AD91" s="84"/>
      <c r="AE91" s="84"/>
    </row>
    <row r="92" spans="1:31" s="5" customFormat="1" ht="12.75" customHeight="1">
      <c r="A92" s="26">
        <v>30</v>
      </c>
      <c r="B92" s="12"/>
      <c r="C92" s="112" t="s">
        <v>50</v>
      </c>
      <c r="D92" s="16"/>
      <c r="E92" s="99">
        <f>E90-E91</f>
        <v>861.8900000000001</v>
      </c>
      <c r="F92" s="278" t="s">
        <v>271</v>
      </c>
      <c r="G92" s="278"/>
      <c r="H92" s="278"/>
      <c r="I92" s="99">
        <f>ROUND((80%*2*(E71+E72+E73+E74+E75+E76)/30*(J92/30)),2)</f>
        <v>0</v>
      </c>
      <c r="J92" s="217">
        <v>0</v>
      </c>
      <c r="K92" s="171"/>
      <c r="L92" s="171"/>
      <c r="M92" s="171"/>
      <c r="N92" s="113"/>
      <c r="O92" s="218"/>
      <c r="U92" s="11"/>
      <c r="V92" s="84"/>
      <c r="W92" s="84"/>
      <c r="X92" s="84"/>
      <c r="Y92" s="84"/>
      <c r="Z92" s="84"/>
      <c r="AA92" s="84"/>
      <c r="AB92" s="84"/>
      <c r="AC92" s="84"/>
      <c r="AD92" s="84"/>
      <c r="AE92" s="84"/>
    </row>
    <row r="93" spans="1:31" s="5" customFormat="1" ht="12.75" customHeight="1">
      <c r="A93" s="27"/>
      <c r="B93" s="12"/>
      <c r="C93" s="112"/>
      <c r="D93" s="16"/>
      <c r="E93" s="28"/>
      <c r="F93" s="278"/>
      <c r="G93" s="263"/>
      <c r="H93" s="263"/>
      <c r="I93" s="28"/>
      <c r="J93" s="171"/>
      <c r="K93" s="171"/>
      <c r="L93" s="171"/>
      <c r="M93" s="171"/>
      <c r="N93" s="222"/>
      <c r="O93" s="218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</row>
    <row r="94" spans="1:31" s="5" customFormat="1" ht="12.75" customHeight="1">
      <c r="A94" s="27"/>
      <c r="B94" s="12"/>
      <c r="C94" s="234" t="s">
        <v>261</v>
      </c>
      <c r="D94" s="234"/>
      <c r="E94" s="234"/>
      <c r="F94" s="235"/>
      <c r="G94" s="235"/>
      <c r="H94" s="16" t="s">
        <v>0</v>
      </c>
      <c r="I94" s="99">
        <v>5860.8</v>
      </c>
      <c r="J94" s="171"/>
      <c r="K94" s="171"/>
      <c r="L94" s="171"/>
      <c r="M94" s="171"/>
      <c r="N94" s="222"/>
      <c r="O94" s="218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</row>
    <row r="95" spans="1:31" s="5" customFormat="1" ht="12.75" customHeight="1">
      <c r="A95" s="25"/>
      <c r="B95" s="151"/>
      <c r="C95" s="151"/>
      <c r="D95" s="151"/>
      <c r="E95" s="151"/>
      <c r="F95" s="151"/>
      <c r="G95" s="151"/>
      <c r="H95" s="151"/>
      <c r="I95" s="151"/>
      <c r="J95" s="171"/>
      <c r="K95" s="172"/>
      <c r="L95" s="172"/>
      <c r="M95" s="172"/>
      <c r="N95" s="218"/>
      <c r="O95" s="218"/>
    </row>
    <row r="96" spans="1:31" s="5" customFormat="1" ht="12.75" customHeight="1">
      <c r="A96" s="7"/>
      <c r="B96" s="84"/>
      <c r="C96" s="84"/>
      <c r="D96" s="11"/>
      <c r="E96" s="11"/>
      <c r="F96" s="84"/>
      <c r="G96" s="84"/>
      <c r="H96" s="84"/>
      <c r="I96" s="84"/>
      <c r="J96" s="171"/>
      <c r="K96" s="172"/>
      <c r="L96" s="172"/>
      <c r="M96" s="172"/>
      <c r="N96" s="218"/>
      <c r="O96" s="218"/>
    </row>
    <row r="97" spans="1:15" s="5" customFormat="1" ht="12.75" customHeight="1">
      <c r="A97" s="7"/>
      <c r="B97" s="84"/>
      <c r="C97" s="84"/>
      <c r="D97" s="132" t="str">
        <f>'ΜΙΣΘΟΔΟΣΙΑ ΜΟΝΙΜΩΝ'!D102</f>
        <v>Βασίλειος Ι. Χουλιάρας</v>
      </c>
      <c r="E97" s="132"/>
      <c r="F97" s="84"/>
      <c r="G97" s="84"/>
      <c r="H97" s="84"/>
      <c r="I97" s="84"/>
      <c r="J97" s="172"/>
      <c r="K97" s="172"/>
      <c r="L97" s="172"/>
      <c r="M97" s="172"/>
      <c r="N97" s="218"/>
      <c r="O97" s="218"/>
    </row>
    <row r="98" spans="1:15" s="5" customFormat="1" ht="12.75" customHeight="1">
      <c r="A98" s="7"/>
      <c r="B98" s="84"/>
      <c r="C98" s="84"/>
      <c r="D98" s="132" t="str">
        <f>'ΜΙΣΘΟΔΟΣΙΑ ΜΟΝΙΜΩΝ'!D103</f>
        <v>ΠΕ 03 - Μαθηματικός</v>
      </c>
      <c r="E98" s="132"/>
      <c r="F98" s="84"/>
      <c r="G98" s="84"/>
      <c r="H98" s="84"/>
      <c r="I98" s="84"/>
      <c r="J98" s="172"/>
      <c r="K98" s="172"/>
      <c r="L98" s="172"/>
      <c r="M98" s="172"/>
      <c r="N98" s="218"/>
      <c r="O98" s="218"/>
    </row>
    <row r="99" spans="1:15" s="5" customFormat="1" ht="12.75" customHeight="1">
      <c r="A99" s="7"/>
      <c r="B99" s="84"/>
      <c r="C99" s="84"/>
      <c r="D99" s="132" t="str">
        <f>'ΜΙΣΘΟΔΟΣΙΑ ΜΟΝΙΜΩΝ'!D104</f>
        <v>Υ/Δντής 1ου Γενικού Λυκείου Αγρινίου</v>
      </c>
      <c r="E99" s="132"/>
      <c r="F99" s="84"/>
      <c r="G99" s="84"/>
      <c r="H99" s="84"/>
      <c r="I99" s="84"/>
      <c r="J99" s="172"/>
      <c r="K99" s="172"/>
      <c r="L99" s="172"/>
      <c r="M99" s="172"/>
      <c r="N99" s="218"/>
      <c r="O99" s="218"/>
    </row>
    <row r="100" spans="1:15" s="8" customFormat="1" ht="12.75" customHeight="1">
      <c r="A100" s="7"/>
      <c r="B100" s="84"/>
      <c r="C100" s="84"/>
      <c r="D100" s="132"/>
      <c r="E100" s="132"/>
      <c r="F100" s="84"/>
      <c r="G100" s="84"/>
      <c r="H100" s="84"/>
      <c r="I100" s="84"/>
      <c r="J100" s="172"/>
      <c r="K100" s="172"/>
      <c r="L100" s="172"/>
      <c r="M100" s="172"/>
      <c r="N100" s="130"/>
      <c r="O100" s="130"/>
    </row>
    <row r="101" spans="1:15" s="5" customFormat="1" ht="12.75" customHeight="1">
      <c r="A101" s="7"/>
      <c r="D101" s="132" t="str">
        <f>'ΜΙΣΘΟΔΟΣΙΑ ΜΟΝΙΜΩΝ'!D106</f>
        <v>Για πληροφορίες, ερωτήματα, σχόλια</v>
      </c>
      <c r="E101" s="133"/>
      <c r="J101" s="173"/>
      <c r="K101" s="173"/>
      <c r="L101" s="173"/>
      <c r="M101" s="173"/>
    </row>
    <row r="102" spans="1:15" s="5" customFormat="1" ht="12.75" customHeight="1">
      <c r="A102" s="7"/>
      <c r="D102" s="132" t="str">
        <f>'ΜΙΣΘΟΔΟΣΙΑ ΜΟΝΙΜΩΝ'!D107</f>
        <v>και παρατηρήσεις επικοινωνήστε:</v>
      </c>
      <c r="E102" s="133"/>
      <c r="J102" s="173"/>
      <c r="K102" s="173"/>
      <c r="L102" s="173"/>
      <c r="M102" s="173"/>
    </row>
    <row r="103" spans="1:15" s="5" customFormat="1" ht="12.75" customHeight="1">
      <c r="A103" s="7"/>
      <c r="D103" s="132" t="str">
        <f>'ΜΙΣΘΟΔΟΣΙΑ ΜΟΝΙΜΩΝ'!D108</f>
        <v>e-mail: choulvas@sch.gr</v>
      </c>
      <c r="E103" s="133"/>
      <c r="J103" s="173"/>
      <c r="K103" s="173"/>
      <c r="L103" s="173"/>
      <c r="M103" s="173"/>
    </row>
    <row r="104" spans="1:15" s="5" customFormat="1" ht="12.75" customHeight="1">
      <c r="A104" s="7"/>
      <c r="D104" s="132" t="str">
        <f>'ΜΙΣΘΟΔΟΣΙΑ ΜΟΝΙΜΩΝ'!D109</f>
        <v>τηλ.: 6976285698</v>
      </c>
      <c r="E104" s="133"/>
    </row>
    <row r="105" spans="1:15" s="5" customFormat="1" ht="12.75" customHeight="1">
      <c r="A105" s="7"/>
    </row>
    <row r="106" spans="1:15" s="5" customFormat="1" ht="12.75" customHeight="1">
      <c r="A106" s="7"/>
    </row>
    <row r="107" spans="1:15" s="5" customFormat="1" ht="12.75" customHeight="1">
      <c r="A107" s="7"/>
    </row>
    <row r="108" spans="1:15" s="5" customFormat="1" ht="12.75" customHeight="1">
      <c r="A108" s="7"/>
    </row>
    <row r="109" spans="1:15" s="5" customFormat="1" ht="12.75" customHeight="1">
      <c r="A109" s="7"/>
    </row>
    <row r="110" spans="1:15" s="5" customFormat="1" ht="12.75" customHeight="1">
      <c r="A110" s="7"/>
    </row>
    <row r="111" spans="1:15" s="5" customFormat="1" ht="12.75" customHeight="1">
      <c r="A111" s="7"/>
    </row>
    <row r="112" spans="1:15" s="5" customFormat="1" ht="12.75" customHeight="1"/>
    <row r="113" s="5" customFormat="1" ht="12.75" customHeight="1"/>
    <row r="114" s="5" customFormat="1" ht="12.75" customHeight="1"/>
    <row r="115" s="5" customFormat="1" ht="12.75" customHeigh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pans="10:21" s="5" customFormat="1"/>
    <row r="178" spans="10:21" s="5" customFormat="1"/>
    <row r="179" spans="10:21" s="5" customFormat="1"/>
    <row r="180" spans="10:21" s="5" customFormat="1"/>
    <row r="181" spans="10:21" s="5" customFormat="1"/>
    <row r="182" spans="10:21" s="5" customFormat="1"/>
    <row r="183" spans="10:21" s="5" customFormat="1"/>
    <row r="184" spans="10:21" s="5" customFormat="1"/>
    <row r="185" spans="10:21" s="5" customFormat="1"/>
    <row r="186" spans="10:21" s="5" customFormat="1"/>
    <row r="187" spans="10:21" s="5" customFormat="1"/>
    <row r="188" spans="10:21" s="5" customFormat="1"/>
    <row r="189" spans="10:21" s="5" customFormat="1"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spans="10:21" s="5" customFormat="1"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spans="10:21" s="5" customFormat="1"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10:21" s="5" customFormat="1"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10:21" s="5" customFormat="1"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10:21" s="5" customFormat="1"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10:21" s="5" customFormat="1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10:21" s="5" customFormat="1"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10:21" s="5" customFormat="1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10:21" s="5" customFormat="1"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10:21" s="5" customFormat="1"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10:21" s="5" customFormat="1"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10:21" s="5" customFormat="1"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10:21" s="5" customFormat="1"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10:21" s="5" customFormat="1"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10:21" s="5" customFormat="1"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10:21" s="5" customFormat="1"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10:21" s="5" customFormat="1"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10:21" s="5" customFormat="1"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0:21" s="5" customFormat="1"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10:21" s="5" customFormat="1"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10:21" s="5" customFormat="1"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0:21" s="5" customFormat="1"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0:21" s="5" customFormat="1"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0:21" s="5" customFormat="1"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0:21" s="5" customFormat="1"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10:21" s="5" customFormat="1"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10:21" s="5" customFormat="1"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10:21" s="5" customFormat="1"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10:21" s="5" customFormat="1"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10:21" s="5" customFormat="1"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10:21" s="5" customFormat="1"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</row>
    <row r="221" spans="10:21" s="5" customFormat="1"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</row>
    <row r="222" spans="10:21" s="5" customFormat="1"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</row>
    <row r="223" spans="10:21" s="5" customFormat="1"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</row>
    <row r="224" spans="10:21" s="5" customFormat="1"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</row>
    <row r="225" spans="10:21" s="5" customFormat="1"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</row>
    <row r="226" spans="10:21" s="5" customFormat="1"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</row>
    <row r="227" spans="10:21" s="5" customFormat="1"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</row>
    <row r="228" spans="10:21" s="5" customFormat="1"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</row>
    <row r="229" spans="10:21" s="5" customFormat="1"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</row>
    <row r="230" spans="10:21" s="5" customFormat="1"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</row>
    <row r="231" spans="10:21" s="5" customFormat="1"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</row>
    <row r="232" spans="10:21" s="5" customFormat="1"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0:21" s="5" customFormat="1"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</row>
    <row r="234" spans="10:21" s="5" customFormat="1"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</row>
    <row r="235" spans="10:21" s="5" customFormat="1"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0:21" s="5" customFormat="1"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0:21" s="5" customFormat="1"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</row>
    <row r="238" spans="10:21" s="5" customFormat="1"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</row>
    <row r="239" spans="10:21" s="5" customFormat="1"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</row>
    <row r="240" spans="10:21" s="5" customFormat="1"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</row>
    <row r="241" spans="10:21" s="5" customFormat="1"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</row>
    <row r="242" spans="10:21" s="5" customFormat="1"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</row>
    <row r="243" spans="10:21" s="5" customFormat="1"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</row>
    <row r="244" spans="10:21" s="5" customFormat="1"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</row>
    <row r="245" spans="10:21" s="5" customFormat="1"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</row>
    <row r="246" spans="10:21" s="5" customFormat="1"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</row>
    <row r="247" spans="10:21" s="5" customFormat="1"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</row>
    <row r="248" spans="10:21" s="5" customFormat="1"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</row>
    <row r="249" spans="10:21" s="5" customFormat="1"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</row>
    <row r="250" spans="10:21" s="5" customFormat="1"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</row>
    <row r="251" spans="10:21" s="5" customFormat="1"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</row>
    <row r="252" spans="10:21" s="5" customFormat="1"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</row>
    <row r="253" spans="10:21" s="5" customFormat="1"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</row>
    <row r="254" spans="10:21" s="5" customFormat="1"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</row>
    <row r="255" spans="10:21" s="5" customFormat="1"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</row>
    <row r="256" spans="10:21" s="5" customFormat="1"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</row>
    <row r="257" spans="10:21" s="5" customFormat="1"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</row>
    <row r="258" spans="10:21" s="5" customFormat="1"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</row>
    <row r="259" spans="10:21" s="5" customFormat="1"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</row>
    <row r="260" spans="10:21" s="5" customFormat="1"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</row>
    <row r="261" spans="10:21" s="5" customFormat="1"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</row>
    <row r="262" spans="10:21" s="5" customFormat="1"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</row>
    <row r="263" spans="10:21" s="5" customFormat="1"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</row>
    <row r="264" spans="10:21" s="5" customFormat="1"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</row>
    <row r="265" spans="10:21" s="5" customFormat="1"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</row>
    <row r="266" spans="10:21" s="5" customFormat="1"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</row>
    <row r="267" spans="10:21" s="5" customFormat="1"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</row>
    <row r="268" spans="10:21" s="5" customFormat="1"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</row>
    <row r="269" spans="10:21" s="5" customFormat="1"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</row>
    <row r="270" spans="10:21" s="5" customFormat="1"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</row>
    <row r="271" spans="10:21" s="5" customFormat="1"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</row>
    <row r="272" spans="10:21" s="5" customFormat="1"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</row>
    <row r="273" spans="10:21" s="5" customFormat="1"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</row>
    <row r="274" spans="10:21" s="5" customFormat="1"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</row>
    <row r="275" spans="10:21" s="5" customFormat="1"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</row>
    <row r="276" spans="10:21" s="5" customFormat="1"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</row>
    <row r="277" spans="10:21" s="5" customFormat="1"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</row>
    <row r="278" spans="10:21" s="5" customFormat="1"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</row>
    <row r="279" spans="10:21" s="5" customFormat="1"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</row>
    <row r="280" spans="10:21" s="5" customFormat="1"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</row>
    <row r="281" spans="10:21" s="5" customFormat="1"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</row>
    <row r="282" spans="10:21" s="5" customFormat="1"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</row>
    <row r="283" spans="10:21" s="5" customFormat="1"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</row>
    <row r="284" spans="10:21" s="5" customFormat="1"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</row>
    <row r="285" spans="10:21" s="5" customFormat="1"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</row>
    <row r="286" spans="10:21" s="5" customFormat="1"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</row>
    <row r="287" spans="10:21" s="5" customFormat="1"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</row>
    <row r="288" spans="10:21" s="5" customFormat="1"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</row>
    <row r="289" spans="10:21" s="5" customFormat="1"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</row>
    <row r="290" spans="10:21" s="5" customFormat="1"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</row>
    <row r="291" spans="10:21" s="5" customFormat="1"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</row>
    <row r="292" spans="10:21" s="5" customFormat="1"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</row>
    <row r="293" spans="10:21" s="5" customFormat="1"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</row>
    <row r="294" spans="10:21" s="5" customFormat="1"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</row>
    <row r="295" spans="10:21" s="5" customFormat="1"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</row>
    <row r="296" spans="10:21" s="5" customFormat="1"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</row>
    <row r="297" spans="10:21" s="5" customFormat="1"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</row>
    <row r="298" spans="10:21" s="5" customFormat="1"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</row>
    <row r="299" spans="10:21" s="5" customFormat="1"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</row>
    <row r="300" spans="10:21" s="5" customFormat="1"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</row>
    <row r="301" spans="10:21" s="5" customFormat="1"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</row>
    <row r="302" spans="10:21" s="5" customFormat="1"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</row>
    <row r="303" spans="10:21" s="5" customFormat="1"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</row>
    <row r="304" spans="10:21" s="5" customFormat="1"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</row>
    <row r="305" spans="10:21" s="5" customFormat="1"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</row>
    <row r="306" spans="10:21" s="5" customFormat="1"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</row>
    <row r="307" spans="10:21" s="5" customFormat="1"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</row>
    <row r="308" spans="10:21" s="5" customFormat="1"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</row>
    <row r="309" spans="10:21" s="5" customFormat="1"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</row>
    <row r="310" spans="10:21" s="5" customFormat="1"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</row>
    <row r="311" spans="10:21" s="5" customFormat="1">
      <c r="T311" s="8"/>
      <c r="U311" s="8"/>
    </row>
    <row r="312" spans="10:21" s="5" customFormat="1">
      <c r="T312" s="8"/>
      <c r="U312" s="8"/>
    </row>
    <row r="313" spans="10:21" s="5" customFormat="1">
      <c r="T313" s="8"/>
      <c r="U313" s="8"/>
    </row>
    <row r="314" spans="10:21" s="5" customFormat="1">
      <c r="T314" s="8"/>
      <c r="U314" s="8"/>
    </row>
    <row r="315" spans="10:21" s="5" customFormat="1">
      <c r="T315" s="8"/>
      <c r="U315" s="8"/>
    </row>
    <row r="316" spans="10:21" s="5" customFormat="1">
      <c r="T316" s="8"/>
      <c r="U316" s="8"/>
    </row>
    <row r="317" spans="10:21" s="5" customFormat="1"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</row>
    <row r="318" spans="10:21" s="5" customFormat="1">
      <c r="T318" s="8"/>
      <c r="U318" s="8"/>
    </row>
    <row r="319" spans="10:21" s="5" customFormat="1">
      <c r="T319" s="8"/>
      <c r="U319" s="8"/>
    </row>
    <row r="320" spans="10:21" s="5" customFormat="1">
      <c r="T320" s="8"/>
      <c r="U320" s="8"/>
    </row>
    <row r="321" spans="20:21" s="5" customFormat="1">
      <c r="T321" s="8"/>
      <c r="U321" s="8"/>
    </row>
    <row r="322" spans="20:21" s="5" customFormat="1">
      <c r="T322" s="8"/>
      <c r="U322" s="8"/>
    </row>
    <row r="323" spans="20:21" s="5" customFormat="1">
      <c r="T323" s="8"/>
      <c r="U323" s="8"/>
    </row>
    <row r="324" spans="20:21" s="5" customFormat="1">
      <c r="T324" s="8"/>
      <c r="U324" s="8"/>
    </row>
    <row r="325" spans="20:21" s="5" customFormat="1">
      <c r="T325" s="8"/>
      <c r="U325" s="8"/>
    </row>
    <row r="326" spans="20:21" s="5" customFormat="1">
      <c r="T326" s="8"/>
      <c r="U326" s="8"/>
    </row>
    <row r="327" spans="20:21" s="5" customFormat="1">
      <c r="T327" s="8"/>
      <c r="U327" s="8"/>
    </row>
    <row r="328" spans="20:21" s="5" customFormat="1">
      <c r="T328" s="8"/>
      <c r="U328" s="8"/>
    </row>
    <row r="329" spans="20:21" s="5" customFormat="1">
      <c r="T329" s="8"/>
      <c r="U329" s="8"/>
    </row>
    <row r="330" spans="20:21" s="5" customFormat="1">
      <c r="T330" s="8"/>
      <c r="U330" s="8"/>
    </row>
    <row r="331" spans="20:21" s="5" customFormat="1">
      <c r="T331" s="8"/>
      <c r="U331" s="8"/>
    </row>
    <row r="332" spans="20:21" s="5" customFormat="1">
      <c r="T332" s="8"/>
      <c r="U332" s="8"/>
    </row>
    <row r="333" spans="20:21" s="5" customFormat="1">
      <c r="T333" s="8"/>
      <c r="U333" s="8"/>
    </row>
    <row r="334" spans="20:21" s="5" customFormat="1">
      <c r="T334" s="8"/>
      <c r="U334" s="8"/>
    </row>
    <row r="335" spans="20:21" s="5" customFormat="1">
      <c r="T335" s="8"/>
      <c r="U335" s="8"/>
    </row>
    <row r="336" spans="20:21" s="5" customFormat="1">
      <c r="T336" s="8"/>
      <c r="U336" s="8"/>
    </row>
    <row r="337" spans="20:21" s="5" customFormat="1">
      <c r="T337" s="8"/>
      <c r="U337" s="8"/>
    </row>
    <row r="338" spans="20:21" s="5" customFormat="1">
      <c r="T338" s="8"/>
      <c r="U338" s="8"/>
    </row>
    <row r="339" spans="20:21" s="5" customFormat="1">
      <c r="T339" s="8"/>
      <c r="U339" s="8"/>
    </row>
    <row r="340" spans="20:21" s="5" customFormat="1">
      <c r="T340" s="8"/>
      <c r="U340" s="8"/>
    </row>
    <row r="341" spans="20:21" s="5" customFormat="1">
      <c r="T341" s="8"/>
      <c r="U341" s="8"/>
    </row>
    <row r="342" spans="20:21" s="5" customFormat="1">
      <c r="T342" s="8"/>
      <c r="U342" s="8"/>
    </row>
    <row r="343" spans="20:21" s="5" customFormat="1">
      <c r="T343" s="8"/>
      <c r="U343" s="8"/>
    </row>
    <row r="344" spans="20:21" s="5" customFormat="1">
      <c r="T344" s="8"/>
      <c r="U344" s="8"/>
    </row>
    <row r="345" spans="20:21" s="5" customFormat="1">
      <c r="T345" s="8"/>
      <c r="U345" s="8"/>
    </row>
    <row r="346" spans="20:21" s="5" customFormat="1">
      <c r="T346" s="8"/>
      <c r="U346" s="8"/>
    </row>
    <row r="347" spans="20:21" s="5" customFormat="1">
      <c r="T347" s="8"/>
      <c r="U347" s="8"/>
    </row>
    <row r="348" spans="20:21" s="5" customFormat="1">
      <c r="T348" s="8"/>
      <c r="U348" s="8"/>
    </row>
    <row r="349" spans="20:21" s="5" customFormat="1">
      <c r="T349" s="8"/>
      <c r="U349" s="8"/>
    </row>
    <row r="350" spans="20:21" s="5" customFormat="1">
      <c r="T350" s="8"/>
      <c r="U350" s="8"/>
    </row>
    <row r="351" spans="20:21" s="5" customFormat="1">
      <c r="T351" s="8"/>
      <c r="U351" s="8"/>
    </row>
    <row r="352" spans="20:21" s="5" customFormat="1">
      <c r="T352" s="8"/>
      <c r="U352" s="8"/>
    </row>
    <row r="353" spans="20:21" s="5" customFormat="1">
      <c r="T353" s="8"/>
      <c r="U353" s="8"/>
    </row>
    <row r="354" spans="20:21" s="5" customFormat="1">
      <c r="T354" s="8"/>
      <c r="U354" s="8"/>
    </row>
    <row r="355" spans="20:21" s="5" customFormat="1">
      <c r="T355" s="8"/>
      <c r="U355" s="8"/>
    </row>
    <row r="356" spans="20:21" s="5" customFormat="1">
      <c r="T356" s="8"/>
      <c r="U356" s="8"/>
    </row>
    <row r="357" spans="20:21" s="5" customFormat="1">
      <c r="T357" s="8"/>
      <c r="U357" s="8"/>
    </row>
    <row r="358" spans="20:21" s="5" customFormat="1">
      <c r="T358" s="8"/>
      <c r="U358" s="8"/>
    </row>
    <row r="359" spans="20:21" s="5" customFormat="1">
      <c r="T359" s="8"/>
      <c r="U359" s="8"/>
    </row>
    <row r="360" spans="20:21" s="5" customFormat="1">
      <c r="T360" s="8"/>
      <c r="U360" s="8"/>
    </row>
    <row r="361" spans="20:21" s="5" customFormat="1">
      <c r="T361" s="8"/>
      <c r="U361" s="8"/>
    </row>
    <row r="362" spans="20:21" s="5" customFormat="1">
      <c r="T362" s="8"/>
      <c r="U362" s="8"/>
    </row>
    <row r="363" spans="20:21" s="5" customFormat="1">
      <c r="T363" s="8"/>
      <c r="U363" s="8"/>
    </row>
    <row r="364" spans="20:21" s="5" customFormat="1">
      <c r="T364" s="8"/>
      <c r="U364" s="8"/>
    </row>
    <row r="365" spans="20:21" s="5" customFormat="1">
      <c r="T365" s="8"/>
      <c r="U365" s="8"/>
    </row>
    <row r="366" spans="20:21" s="5" customFormat="1">
      <c r="T366" s="8"/>
      <c r="U366" s="8"/>
    </row>
    <row r="367" spans="20:21" s="5" customFormat="1">
      <c r="T367" s="8"/>
      <c r="U367" s="8"/>
    </row>
    <row r="368" spans="20:21" s="5" customFormat="1">
      <c r="T368" s="8"/>
      <c r="U368" s="8"/>
    </row>
    <row r="369" spans="20:21" s="5" customFormat="1">
      <c r="T369" s="8"/>
      <c r="U369" s="8"/>
    </row>
    <row r="370" spans="20:21" s="5" customFormat="1">
      <c r="T370" s="8"/>
      <c r="U370" s="8"/>
    </row>
    <row r="371" spans="20:21" s="5" customFormat="1">
      <c r="T371" s="8"/>
      <c r="U371" s="8"/>
    </row>
    <row r="372" spans="20:21" s="5" customFormat="1">
      <c r="T372" s="8"/>
      <c r="U372" s="8"/>
    </row>
    <row r="373" spans="20:21" s="5" customFormat="1">
      <c r="T373" s="8"/>
      <c r="U373" s="8"/>
    </row>
    <row r="374" spans="20:21" s="5" customFormat="1">
      <c r="T374" s="8"/>
      <c r="U374" s="8"/>
    </row>
    <row r="375" spans="20:21" s="5" customFormat="1">
      <c r="T375" s="8"/>
      <c r="U375" s="8"/>
    </row>
    <row r="376" spans="20:21" s="5" customFormat="1">
      <c r="T376" s="8"/>
      <c r="U376" s="8"/>
    </row>
    <row r="377" spans="20:21" s="5" customFormat="1">
      <c r="T377" s="8"/>
      <c r="U377" s="8"/>
    </row>
    <row r="378" spans="20:21" s="5" customFormat="1">
      <c r="T378" s="8"/>
      <c r="U378" s="8"/>
    </row>
    <row r="379" spans="20:21" s="5" customFormat="1">
      <c r="T379" s="8"/>
      <c r="U379" s="8"/>
    </row>
    <row r="380" spans="20:21" s="5" customFormat="1">
      <c r="T380" s="8"/>
      <c r="U380" s="8"/>
    </row>
    <row r="381" spans="20:21" s="5" customFormat="1">
      <c r="T381" s="8"/>
      <c r="U381" s="8"/>
    </row>
    <row r="382" spans="20:21" s="5" customFormat="1">
      <c r="T382" s="8"/>
      <c r="U382" s="8"/>
    </row>
    <row r="383" spans="20:21" s="5" customFormat="1">
      <c r="T383" s="8"/>
      <c r="U383" s="8"/>
    </row>
    <row r="384" spans="20:21" s="5" customFormat="1">
      <c r="T384" s="8"/>
      <c r="U384" s="8"/>
    </row>
    <row r="385" spans="20:21" s="5" customFormat="1">
      <c r="T385" s="8"/>
      <c r="U385" s="8"/>
    </row>
    <row r="386" spans="20:21" s="5" customFormat="1">
      <c r="T386" s="8"/>
      <c r="U386" s="8"/>
    </row>
    <row r="387" spans="20:21" s="5" customFormat="1">
      <c r="T387" s="8"/>
      <c r="U387" s="8"/>
    </row>
    <row r="388" spans="20:21" s="5" customFormat="1">
      <c r="T388" s="8"/>
      <c r="U388" s="8"/>
    </row>
    <row r="389" spans="20:21" s="5" customFormat="1">
      <c r="T389" s="8"/>
      <c r="U389" s="8"/>
    </row>
    <row r="390" spans="20:21" s="5" customFormat="1">
      <c r="T390" s="8"/>
      <c r="U390" s="8"/>
    </row>
    <row r="391" spans="20:21" s="5" customFormat="1">
      <c r="T391" s="8"/>
      <c r="U391" s="8"/>
    </row>
    <row r="392" spans="20:21" s="5" customFormat="1">
      <c r="T392" s="8"/>
      <c r="U392" s="8"/>
    </row>
    <row r="393" spans="20:21" s="5" customFormat="1">
      <c r="T393" s="8"/>
      <c r="U393" s="8"/>
    </row>
    <row r="394" spans="20:21" s="5" customFormat="1">
      <c r="T394" s="8"/>
      <c r="U394" s="8"/>
    </row>
    <row r="395" spans="20:21" s="5" customFormat="1">
      <c r="T395" s="8"/>
      <c r="U395" s="8"/>
    </row>
    <row r="396" spans="20:21" s="5" customFormat="1">
      <c r="T396" s="8"/>
      <c r="U396" s="8"/>
    </row>
    <row r="397" spans="20:21" s="5" customFormat="1">
      <c r="T397" s="8"/>
      <c r="U397" s="8"/>
    </row>
    <row r="398" spans="20:21" s="5" customFormat="1">
      <c r="T398" s="8"/>
      <c r="U398" s="8"/>
    </row>
    <row r="399" spans="20:21" s="5" customFormat="1">
      <c r="T399" s="8"/>
      <c r="U399" s="8"/>
    </row>
    <row r="400" spans="20:21" s="5" customFormat="1">
      <c r="T400" s="8"/>
      <c r="U400" s="8"/>
    </row>
    <row r="401" spans="20:21" s="5" customFormat="1">
      <c r="T401" s="8"/>
      <c r="U401" s="8"/>
    </row>
    <row r="402" spans="20:21" s="5" customFormat="1">
      <c r="T402" s="8"/>
      <c r="U402" s="8"/>
    </row>
    <row r="403" spans="20:21" s="5" customFormat="1">
      <c r="T403" s="8"/>
      <c r="U403" s="8"/>
    </row>
    <row r="404" spans="20:21" s="5" customFormat="1">
      <c r="T404" s="8"/>
      <c r="U404" s="8"/>
    </row>
    <row r="405" spans="20:21" s="5" customFormat="1">
      <c r="T405" s="8"/>
      <c r="U405" s="8"/>
    </row>
    <row r="406" spans="20:21" s="5" customFormat="1">
      <c r="T406" s="8"/>
      <c r="U406" s="8"/>
    </row>
    <row r="407" spans="20:21" s="5" customFormat="1">
      <c r="T407" s="8"/>
      <c r="U407" s="8"/>
    </row>
    <row r="408" spans="20:21" s="5" customFormat="1">
      <c r="T408" s="8"/>
      <c r="U408" s="8"/>
    </row>
    <row r="409" spans="20:21" s="5" customFormat="1">
      <c r="T409" s="8"/>
      <c r="U409" s="8"/>
    </row>
    <row r="410" spans="20:21" s="5" customFormat="1">
      <c r="T410" s="8"/>
      <c r="U410" s="8"/>
    </row>
    <row r="411" spans="20:21" s="5" customFormat="1">
      <c r="T411" s="8"/>
      <c r="U411" s="8"/>
    </row>
    <row r="412" spans="20:21" s="5" customFormat="1">
      <c r="T412" s="8"/>
      <c r="U412" s="8"/>
    </row>
    <row r="413" spans="20:21" s="5" customFormat="1">
      <c r="T413" s="8"/>
      <c r="U413" s="8"/>
    </row>
    <row r="414" spans="20:21" s="5" customFormat="1">
      <c r="T414" s="8"/>
      <c r="U414" s="8"/>
    </row>
    <row r="415" spans="20:21" s="5" customFormat="1">
      <c r="T415" s="8"/>
      <c r="U415" s="8"/>
    </row>
    <row r="416" spans="20:21" s="5" customFormat="1">
      <c r="T416" s="8"/>
      <c r="U416" s="8"/>
    </row>
    <row r="417" spans="20:21" s="5" customFormat="1">
      <c r="T417" s="8"/>
      <c r="U417" s="8"/>
    </row>
    <row r="418" spans="20:21" s="5" customFormat="1">
      <c r="T418" s="8"/>
      <c r="U418" s="8"/>
    </row>
    <row r="419" spans="20:21" s="5" customFormat="1">
      <c r="T419" s="8"/>
      <c r="U419" s="8"/>
    </row>
    <row r="420" spans="20:21" s="5" customFormat="1">
      <c r="T420" s="8"/>
      <c r="U420" s="8"/>
    </row>
    <row r="421" spans="20:21" s="5" customFormat="1">
      <c r="T421" s="8"/>
      <c r="U421" s="8"/>
    </row>
    <row r="422" spans="20:21" s="5" customFormat="1">
      <c r="T422" s="8"/>
      <c r="U422" s="8"/>
    </row>
    <row r="423" spans="20:21" s="5" customFormat="1">
      <c r="T423" s="8"/>
      <c r="U423" s="8"/>
    </row>
    <row r="424" spans="20:21" s="5" customFormat="1">
      <c r="T424" s="8"/>
      <c r="U424" s="8"/>
    </row>
    <row r="425" spans="20:21" s="5" customFormat="1">
      <c r="T425" s="8"/>
      <c r="U425" s="8"/>
    </row>
    <row r="426" spans="20:21" s="5" customFormat="1">
      <c r="T426" s="8"/>
      <c r="U426" s="8"/>
    </row>
    <row r="427" spans="20:21" s="5" customFormat="1">
      <c r="T427" s="8"/>
      <c r="U427" s="8"/>
    </row>
    <row r="428" spans="20:21" s="5" customFormat="1">
      <c r="T428" s="8"/>
      <c r="U428" s="8"/>
    </row>
    <row r="429" spans="20:21" s="5" customFormat="1">
      <c r="T429" s="8"/>
      <c r="U429" s="8"/>
    </row>
    <row r="430" spans="20:21" s="5" customFormat="1">
      <c r="T430" s="8"/>
      <c r="U430" s="8"/>
    </row>
    <row r="431" spans="20:21" s="5" customFormat="1">
      <c r="T431" s="8"/>
      <c r="U431" s="8"/>
    </row>
    <row r="432" spans="20:21" s="5" customFormat="1">
      <c r="T432" s="8"/>
      <c r="U432" s="8"/>
    </row>
    <row r="433" spans="20:21" s="5" customFormat="1">
      <c r="T433" s="8"/>
      <c r="U433" s="8"/>
    </row>
    <row r="434" spans="20:21" s="5" customFormat="1">
      <c r="T434" s="8"/>
      <c r="U434" s="8"/>
    </row>
    <row r="435" spans="20:21" s="5" customFormat="1">
      <c r="T435" s="8"/>
      <c r="U435" s="8"/>
    </row>
    <row r="436" spans="20:21" s="5" customFormat="1">
      <c r="T436" s="8"/>
      <c r="U436" s="8"/>
    </row>
    <row r="437" spans="20:21" s="5" customFormat="1">
      <c r="T437" s="8"/>
      <c r="U437" s="8"/>
    </row>
    <row r="438" spans="20:21" s="5" customFormat="1">
      <c r="T438" s="8"/>
      <c r="U438" s="8"/>
    </row>
    <row r="439" spans="20:21" s="5" customFormat="1">
      <c r="T439" s="8"/>
      <c r="U439" s="8"/>
    </row>
    <row r="440" spans="20:21" s="5" customFormat="1">
      <c r="T440" s="8"/>
      <c r="U440" s="8"/>
    </row>
    <row r="441" spans="20:21" s="5" customFormat="1">
      <c r="T441" s="8"/>
      <c r="U441" s="8"/>
    </row>
    <row r="442" spans="20:21" s="5" customFormat="1">
      <c r="T442" s="8"/>
      <c r="U442" s="8"/>
    </row>
    <row r="443" spans="20:21" s="5" customFormat="1">
      <c r="T443" s="8"/>
      <c r="U443" s="8"/>
    </row>
    <row r="444" spans="20:21" s="5" customFormat="1">
      <c r="T444" s="8"/>
      <c r="U444" s="8"/>
    </row>
    <row r="445" spans="20:21" s="5" customFormat="1">
      <c r="T445" s="8"/>
      <c r="U445" s="8"/>
    </row>
    <row r="446" spans="20:21" s="5" customFormat="1">
      <c r="T446" s="8"/>
      <c r="U446" s="8"/>
    </row>
    <row r="447" spans="20:21" s="5" customFormat="1">
      <c r="T447" s="8"/>
      <c r="U447" s="8"/>
    </row>
    <row r="448" spans="20:21" s="5" customFormat="1">
      <c r="T448" s="8"/>
      <c r="U448" s="8"/>
    </row>
    <row r="449" spans="20:21" s="5" customFormat="1">
      <c r="T449" s="8"/>
      <c r="U449" s="8"/>
    </row>
    <row r="450" spans="20:21" s="5" customFormat="1">
      <c r="T450" s="8"/>
      <c r="U450" s="8"/>
    </row>
    <row r="451" spans="20:21" s="5" customFormat="1">
      <c r="T451" s="8"/>
      <c r="U451" s="8"/>
    </row>
    <row r="452" spans="20:21" s="5" customFormat="1">
      <c r="T452" s="8"/>
      <c r="U452" s="8"/>
    </row>
    <row r="453" spans="20:21" s="5" customFormat="1">
      <c r="T453" s="8"/>
      <c r="U453" s="8"/>
    </row>
    <row r="454" spans="20:21" s="5" customFormat="1">
      <c r="T454" s="8"/>
      <c r="U454" s="8"/>
    </row>
    <row r="455" spans="20:21" s="5" customFormat="1">
      <c r="T455" s="8"/>
      <c r="U455" s="8"/>
    </row>
    <row r="456" spans="20:21" s="5" customFormat="1">
      <c r="T456" s="8"/>
      <c r="U456" s="8"/>
    </row>
    <row r="457" spans="20:21" s="5" customFormat="1">
      <c r="T457" s="8"/>
      <c r="U457" s="8"/>
    </row>
    <row r="458" spans="20:21" s="5" customFormat="1">
      <c r="T458" s="8"/>
      <c r="U458" s="8"/>
    </row>
    <row r="459" spans="20:21" s="5" customFormat="1">
      <c r="T459" s="8"/>
      <c r="U459" s="8"/>
    </row>
    <row r="460" spans="20:21" s="5" customFormat="1">
      <c r="T460" s="8"/>
      <c r="U460" s="8"/>
    </row>
    <row r="461" spans="20:21" s="5" customFormat="1">
      <c r="T461" s="8"/>
      <c r="U461" s="8"/>
    </row>
    <row r="462" spans="20:21" s="5" customFormat="1">
      <c r="T462" s="8"/>
      <c r="U462" s="8"/>
    </row>
    <row r="463" spans="20:21" s="5" customFormat="1">
      <c r="T463" s="8"/>
      <c r="U463" s="8"/>
    </row>
    <row r="464" spans="20:21" s="5" customFormat="1">
      <c r="T464" s="8"/>
      <c r="U464" s="8"/>
    </row>
    <row r="465" spans="20:21" s="5" customFormat="1">
      <c r="T465" s="8"/>
      <c r="U465" s="8"/>
    </row>
    <row r="466" spans="20:21" s="5" customFormat="1">
      <c r="T466" s="8"/>
      <c r="U466" s="8"/>
    </row>
    <row r="467" spans="20:21" s="5" customFormat="1">
      <c r="T467" s="8"/>
      <c r="U467" s="8"/>
    </row>
    <row r="468" spans="20:21" s="5" customFormat="1">
      <c r="T468" s="8"/>
      <c r="U468" s="8"/>
    </row>
    <row r="469" spans="20:21" s="5" customFormat="1">
      <c r="T469" s="8"/>
      <c r="U469" s="8"/>
    </row>
    <row r="470" spans="20:21" s="5" customFormat="1">
      <c r="T470" s="8"/>
      <c r="U470" s="8"/>
    </row>
    <row r="471" spans="20:21" s="5" customFormat="1">
      <c r="T471" s="8"/>
      <c r="U471" s="8"/>
    </row>
    <row r="472" spans="20:21" s="5" customFormat="1">
      <c r="T472" s="8"/>
      <c r="U472" s="8"/>
    </row>
    <row r="473" spans="20:21" s="5" customFormat="1">
      <c r="T473" s="8"/>
      <c r="U473" s="8"/>
    </row>
    <row r="474" spans="20:21" s="5" customFormat="1">
      <c r="T474" s="8"/>
      <c r="U474" s="8"/>
    </row>
    <row r="475" spans="20:21" s="5" customFormat="1">
      <c r="T475" s="8"/>
      <c r="U475" s="8"/>
    </row>
    <row r="476" spans="20:21" s="5" customFormat="1">
      <c r="T476" s="8"/>
      <c r="U476" s="8"/>
    </row>
    <row r="477" spans="20:21" s="5" customFormat="1">
      <c r="T477" s="8"/>
      <c r="U477" s="8"/>
    </row>
    <row r="478" spans="20:21" s="5" customFormat="1">
      <c r="T478" s="8"/>
      <c r="U478" s="8"/>
    </row>
    <row r="479" spans="20:21" s="5" customFormat="1">
      <c r="T479" s="8"/>
      <c r="U479" s="8"/>
    </row>
    <row r="480" spans="20:21" s="5" customFormat="1">
      <c r="T480" s="8"/>
      <c r="U480" s="8"/>
    </row>
    <row r="481" spans="20:21" s="5" customFormat="1">
      <c r="T481" s="8"/>
      <c r="U481" s="8"/>
    </row>
    <row r="482" spans="20:21" s="5" customFormat="1">
      <c r="T482" s="8"/>
      <c r="U482" s="8"/>
    </row>
    <row r="483" spans="20:21" s="5" customFormat="1">
      <c r="T483" s="8"/>
      <c r="U483" s="8"/>
    </row>
    <row r="484" spans="20:21" s="5" customFormat="1">
      <c r="T484" s="8"/>
      <c r="U484" s="8"/>
    </row>
    <row r="485" spans="20:21" s="5" customFormat="1">
      <c r="T485" s="8"/>
      <c r="U485" s="8"/>
    </row>
    <row r="486" spans="20:21" s="5" customFormat="1">
      <c r="T486" s="8"/>
      <c r="U486" s="8"/>
    </row>
    <row r="487" spans="20:21" s="5" customFormat="1">
      <c r="T487" s="8"/>
      <c r="U487" s="8"/>
    </row>
    <row r="488" spans="20:21" s="5" customFormat="1">
      <c r="T488" s="8"/>
      <c r="U488" s="8"/>
    </row>
    <row r="489" spans="20:21" s="5" customFormat="1">
      <c r="T489" s="8"/>
      <c r="U489" s="8"/>
    </row>
    <row r="490" spans="20:21" s="5" customFormat="1">
      <c r="T490" s="8"/>
      <c r="U490" s="8"/>
    </row>
    <row r="491" spans="20:21" s="5" customFormat="1">
      <c r="T491" s="8"/>
      <c r="U491" s="8"/>
    </row>
    <row r="492" spans="20:21" s="5" customFormat="1">
      <c r="T492" s="8"/>
      <c r="U492" s="8"/>
    </row>
    <row r="493" spans="20:21" s="5" customFormat="1">
      <c r="T493" s="8"/>
      <c r="U493" s="8"/>
    </row>
    <row r="494" spans="20:21" s="5" customFormat="1">
      <c r="T494" s="8"/>
      <c r="U494" s="8"/>
    </row>
    <row r="495" spans="20:21" s="5" customFormat="1">
      <c r="T495" s="8"/>
      <c r="U495" s="8"/>
    </row>
    <row r="496" spans="20:21" s="5" customFormat="1">
      <c r="T496" s="8"/>
      <c r="U496" s="8"/>
    </row>
    <row r="497" spans="20:21" s="5" customFormat="1">
      <c r="T497" s="8"/>
      <c r="U497" s="8"/>
    </row>
    <row r="498" spans="20:21" s="5" customFormat="1">
      <c r="T498" s="8"/>
      <c r="U498" s="8"/>
    </row>
    <row r="499" spans="20:21" s="5" customFormat="1">
      <c r="T499" s="8"/>
      <c r="U499" s="8"/>
    </row>
    <row r="500" spans="20:21" s="5" customFormat="1">
      <c r="T500" s="8"/>
      <c r="U500" s="8"/>
    </row>
    <row r="501" spans="20:21" s="5" customFormat="1">
      <c r="T501" s="8"/>
      <c r="U501" s="8"/>
    </row>
    <row r="502" spans="20:21" s="5" customFormat="1">
      <c r="T502" s="8"/>
      <c r="U502" s="8"/>
    </row>
    <row r="503" spans="20:21" s="5" customFormat="1">
      <c r="T503" s="8"/>
      <c r="U503" s="8"/>
    </row>
    <row r="504" spans="20:21" s="5" customFormat="1">
      <c r="T504" s="8"/>
      <c r="U504" s="8"/>
    </row>
    <row r="505" spans="20:21" s="5" customFormat="1">
      <c r="T505" s="8"/>
      <c r="U505" s="8"/>
    </row>
    <row r="506" spans="20:21" s="5" customFormat="1">
      <c r="T506" s="8"/>
      <c r="U506" s="8"/>
    </row>
    <row r="507" spans="20:21" s="5" customFormat="1">
      <c r="T507" s="8"/>
      <c r="U507" s="8"/>
    </row>
    <row r="508" spans="20:21" s="5" customFormat="1">
      <c r="T508" s="8"/>
      <c r="U508" s="8"/>
    </row>
    <row r="509" spans="20:21" s="5" customFormat="1">
      <c r="T509" s="8"/>
      <c r="U509" s="8"/>
    </row>
    <row r="510" spans="20:21" s="5" customFormat="1">
      <c r="T510" s="8"/>
      <c r="U510" s="8"/>
    </row>
    <row r="511" spans="20:21" s="5" customFormat="1">
      <c r="T511" s="8"/>
      <c r="U511" s="8"/>
    </row>
    <row r="512" spans="20:21" s="5" customFormat="1">
      <c r="T512" s="8"/>
      <c r="U512" s="8"/>
    </row>
    <row r="513" spans="20:21" s="5" customFormat="1">
      <c r="T513" s="8"/>
      <c r="U513" s="8"/>
    </row>
    <row r="514" spans="20:21" s="5" customFormat="1">
      <c r="T514" s="8"/>
      <c r="U514" s="8"/>
    </row>
    <row r="515" spans="20:21" s="5" customFormat="1">
      <c r="T515" s="8"/>
      <c r="U515" s="8"/>
    </row>
    <row r="516" spans="20:21" s="5" customFormat="1">
      <c r="T516" s="8"/>
      <c r="U516" s="8"/>
    </row>
    <row r="517" spans="20:21" s="5" customFormat="1">
      <c r="T517" s="8"/>
      <c r="U517" s="8"/>
    </row>
    <row r="518" spans="20:21" s="5" customFormat="1">
      <c r="T518" s="8"/>
      <c r="U518" s="8"/>
    </row>
    <row r="519" spans="20:21" s="5" customFormat="1">
      <c r="T519" s="8"/>
      <c r="U519" s="8"/>
    </row>
    <row r="520" spans="20:21" s="5" customFormat="1">
      <c r="T520" s="8"/>
      <c r="U520" s="8"/>
    </row>
    <row r="521" spans="20:21" s="5" customFormat="1">
      <c r="T521" s="8"/>
      <c r="U521" s="8"/>
    </row>
    <row r="522" spans="20:21" s="5" customFormat="1">
      <c r="T522" s="8"/>
      <c r="U522" s="8"/>
    </row>
    <row r="523" spans="20:21" s="5" customFormat="1">
      <c r="T523" s="8"/>
      <c r="U523" s="8"/>
    </row>
    <row r="524" spans="20:21" s="5" customFormat="1">
      <c r="T524" s="8"/>
      <c r="U524" s="8"/>
    </row>
    <row r="525" spans="20:21" s="5" customFormat="1">
      <c r="T525" s="8"/>
      <c r="U525" s="8"/>
    </row>
    <row r="526" spans="20:21" s="5" customFormat="1">
      <c r="T526" s="8"/>
      <c r="U526" s="8"/>
    </row>
    <row r="527" spans="20:21" s="5" customFormat="1">
      <c r="T527" s="8"/>
      <c r="U527" s="8"/>
    </row>
    <row r="528" spans="20:21" s="5" customFormat="1">
      <c r="T528" s="8"/>
      <c r="U528" s="8"/>
    </row>
    <row r="529" spans="20:21" s="5" customFormat="1">
      <c r="T529" s="8"/>
      <c r="U529" s="8"/>
    </row>
    <row r="530" spans="20:21" s="5" customFormat="1">
      <c r="T530" s="8"/>
      <c r="U530" s="8"/>
    </row>
    <row r="531" spans="20:21" s="5" customFormat="1">
      <c r="T531" s="8"/>
      <c r="U531" s="8"/>
    </row>
    <row r="532" spans="20:21" s="5" customFormat="1">
      <c r="T532" s="8"/>
      <c r="U532" s="8"/>
    </row>
    <row r="533" spans="20:21" s="5" customFormat="1">
      <c r="T533" s="8"/>
      <c r="U533" s="8"/>
    </row>
    <row r="534" spans="20:21" s="5" customFormat="1">
      <c r="T534" s="8"/>
      <c r="U534" s="8"/>
    </row>
    <row r="535" spans="20:21" s="5" customFormat="1">
      <c r="T535" s="8"/>
      <c r="U535" s="8"/>
    </row>
    <row r="536" spans="20:21" s="5" customFormat="1">
      <c r="T536" s="8"/>
      <c r="U536" s="8"/>
    </row>
    <row r="537" spans="20:21" s="5" customFormat="1">
      <c r="T537" s="8"/>
      <c r="U537" s="8"/>
    </row>
    <row r="538" spans="20:21" s="5" customFormat="1">
      <c r="T538" s="8"/>
      <c r="U538" s="8"/>
    </row>
    <row r="539" spans="20:21" s="5" customFormat="1">
      <c r="T539" s="8"/>
      <c r="U539" s="8"/>
    </row>
    <row r="540" spans="20:21" s="5" customFormat="1">
      <c r="T540" s="8"/>
      <c r="U540" s="8"/>
    </row>
    <row r="541" spans="20:21" s="5" customFormat="1">
      <c r="T541" s="8"/>
      <c r="U541" s="8"/>
    </row>
    <row r="542" spans="20:21" s="5" customFormat="1">
      <c r="T542" s="8"/>
      <c r="U542" s="8"/>
    </row>
    <row r="543" spans="20:21" s="5" customFormat="1">
      <c r="T543" s="8"/>
      <c r="U543" s="8"/>
    </row>
    <row r="544" spans="20:21" s="5" customFormat="1">
      <c r="T544" s="8"/>
      <c r="U544" s="8"/>
    </row>
    <row r="545" spans="20:21" s="5" customFormat="1">
      <c r="T545" s="8"/>
      <c r="U545" s="8"/>
    </row>
    <row r="546" spans="20:21" s="5" customFormat="1">
      <c r="T546" s="8"/>
      <c r="U546" s="8"/>
    </row>
    <row r="547" spans="20:21" s="5" customFormat="1">
      <c r="T547" s="8"/>
      <c r="U547" s="8"/>
    </row>
    <row r="548" spans="20:21" s="5" customFormat="1">
      <c r="T548" s="8"/>
      <c r="U548" s="8"/>
    </row>
    <row r="549" spans="20:21" s="5" customFormat="1">
      <c r="T549" s="8"/>
      <c r="U549" s="8"/>
    </row>
    <row r="550" spans="20:21" s="5" customFormat="1">
      <c r="T550" s="8"/>
      <c r="U550" s="8"/>
    </row>
    <row r="551" spans="20:21" s="5" customFormat="1">
      <c r="T551" s="8"/>
      <c r="U551" s="8"/>
    </row>
    <row r="552" spans="20:21" s="5" customFormat="1">
      <c r="T552" s="8"/>
      <c r="U552" s="8"/>
    </row>
    <row r="553" spans="20:21" s="5" customFormat="1">
      <c r="T553" s="8"/>
      <c r="U553" s="8"/>
    </row>
    <row r="554" spans="20:21" s="5" customFormat="1">
      <c r="T554" s="8"/>
      <c r="U554" s="8"/>
    </row>
    <row r="555" spans="20:21" s="5" customFormat="1">
      <c r="T555" s="8"/>
      <c r="U555" s="8"/>
    </row>
    <row r="556" spans="20:21" s="5" customFormat="1">
      <c r="T556" s="8"/>
      <c r="U556" s="8"/>
    </row>
    <row r="557" spans="20:21" s="5" customFormat="1">
      <c r="T557" s="8"/>
      <c r="U557" s="8"/>
    </row>
    <row r="558" spans="20:21" s="5" customFormat="1">
      <c r="T558" s="8"/>
      <c r="U558" s="8"/>
    </row>
    <row r="559" spans="20:21" s="5" customFormat="1">
      <c r="T559" s="8"/>
      <c r="U559" s="8"/>
    </row>
    <row r="560" spans="20:21" s="5" customFormat="1">
      <c r="T560" s="8"/>
      <c r="U560" s="8"/>
    </row>
    <row r="561" spans="20:21" s="5" customFormat="1">
      <c r="T561" s="8"/>
      <c r="U561" s="8"/>
    </row>
    <row r="562" spans="20:21" s="5" customFormat="1">
      <c r="T562" s="8"/>
      <c r="U562" s="8"/>
    </row>
    <row r="563" spans="20:21" s="5" customFormat="1">
      <c r="T563" s="8"/>
      <c r="U563" s="8"/>
    </row>
    <row r="564" spans="20:21" s="5" customFormat="1">
      <c r="T564" s="8"/>
      <c r="U564" s="8"/>
    </row>
    <row r="565" spans="20:21" s="5" customFormat="1">
      <c r="T565" s="8"/>
      <c r="U565" s="8"/>
    </row>
    <row r="566" spans="20:21" s="5" customFormat="1">
      <c r="T566" s="8"/>
      <c r="U566" s="8"/>
    </row>
    <row r="567" spans="20:21" s="5" customFormat="1">
      <c r="T567" s="8"/>
      <c r="U567" s="8"/>
    </row>
    <row r="568" spans="20:21" s="5" customFormat="1">
      <c r="T568" s="8"/>
      <c r="U568" s="8"/>
    </row>
    <row r="569" spans="20:21" s="5" customFormat="1">
      <c r="T569" s="8"/>
      <c r="U569" s="8"/>
    </row>
    <row r="570" spans="20:21" s="5" customFormat="1">
      <c r="T570" s="8"/>
      <c r="U570" s="8"/>
    </row>
    <row r="571" spans="20:21" s="5" customFormat="1">
      <c r="T571" s="8"/>
      <c r="U571" s="8"/>
    </row>
    <row r="572" spans="20:21" s="5" customFormat="1">
      <c r="T572" s="8"/>
      <c r="U572" s="8"/>
    </row>
    <row r="573" spans="20:21" s="5" customFormat="1">
      <c r="T573" s="8"/>
      <c r="U573" s="8"/>
    </row>
    <row r="574" spans="20:21" s="5" customFormat="1">
      <c r="T574" s="8"/>
      <c r="U574" s="8"/>
    </row>
    <row r="575" spans="20:21" s="5" customFormat="1">
      <c r="T575" s="8"/>
      <c r="U575" s="8"/>
    </row>
    <row r="576" spans="20:21" s="5" customFormat="1">
      <c r="T576" s="8"/>
      <c r="U576" s="8"/>
    </row>
    <row r="577" spans="10:21" s="5" customFormat="1">
      <c r="T577" s="8"/>
      <c r="U577" s="8"/>
    </row>
    <row r="578" spans="10:21" s="5" customFormat="1">
      <c r="T578" s="8"/>
      <c r="U578" s="8"/>
    </row>
    <row r="579" spans="10:21" s="5" customFormat="1">
      <c r="T579" s="8"/>
      <c r="U579" s="8"/>
    </row>
    <row r="580" spans="10:21" s="5" customFormat="1">
      <c r="T580" s="8"/>
      <c r="U580" s="8"/>
    </row>
    <row r="581" spans="10:21" s="5" customFormat="1">
      <c r="T581" s="8"/>
      <c r="U581" s="8"/>
    </row>
    <row r="582" spans="10:21" s="5" customFormat="1">
      <c r="T582" s="8"/>
      <c r="U582" s="8"/>
    </row>
    <row r="583" spans="10:21" s="5" customFormat="1"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</row>
    <row r="584" spans="10:21" s="5" customFormat="1"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</row>
    <row r="585" spans="10:21" s="5" customFormat="1"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</row>
    <row r="586" spans="10:21" s="5" customFormat="1"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</row>
    <row r="587" spans="10:21" s="5" customFormat="1"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</row>
    <row r="588" spans="10:21" s="5" customFormat="1"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</row>
    <row r="589" spans="10:21" s="5" customFormat="1"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</row>
    <row r="590" spans="10:21" s="5" customFormat="1"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</row>
    <row r="591" spans="10:21" s="5" customFormat="1"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</row>
    <row r="592" spans="10:21" s="5" customFormat="1"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</row>
    <row r="593" spans="10:21" s="5" customFormat="1"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</row>
    <row r="594" spans="10:21" s="5" customFormat="1"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</row>
    <row r="595" spans="10:21" s="5" customFormat="1"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</row>
    <row r="596" spans="10:21" s="5" customFormat="1"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</row>
    <row r="597" spans="10:21" s="5" customFormat="1"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</row>
    <row r="598" spans="10:21" s="5" customFormat="1"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</row>
    <row r="599" spans="10:21" s="5" customFormat="1"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</row>
    <row r="600" spans="10:21" s="5" customFormat="1"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</row>
    <row r="601" spans="10:21" s="5" customFormat="1"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</row>
    <row r="602" spans="10:21" s="5" customFormat="1"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</row>
    <row r="603" spans="10:21" s="5" customFormat="1"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</row>
    <row r="604" spans="10:21" s="5" customFormat="1"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</row>
    <row r="605" spans="10:21" s="5" customFormat="1"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</row>
    <row r="606" spans="10:21" s="5" customFormat="1"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</row>
    <row r="607" spans="10:21" s="5" customFormat="1"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</row>
    <row r="608" spans="10:21" s="5" customFormat="1"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</row>
    <row r="609" spans="10:21" s="5" customFormat="1"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</row>
    <row r="610" spans="10:21" s="5" customFormat="1"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</row>
    <row r="611" spans="10:21" s="5" customFormat="1"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</row>
    <row r="612" spans="10:21" s="5" customFormat="1"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</row>
    <row r="613" spans="10:21" s="5" customFormat="1"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</row>
    <row r="614" spans="10:21" s="5" customFormat="1"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</row>
    <row r="615" spans="10:21" s="5" customFormat="1"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</row>
    <row r="616" spans="10:21" s="5" customFormat="1"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</row>
    <row r="617" spans="10:21" s="5" customFormat="1"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</row>
    <row r="618" spans="10:21" s="5" customFormat="1"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</row>
    <row r="619" spans="10:21" s="5" customFormat="1"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</row>
    <row r="620" spans="10:21" s="5" customFormat="1"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</row>
    <row r="621" spans="10:21" s="5" customFormat="1"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</row>
    <row r="622" spans="10:21" s="5" customFormat="1"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</row>
    <row r="623" spans="10:21" s="5" customFormat="1"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</row>
    <row r="624" spans="10:21" s="5" customFormat="1"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</row>
    <row r="625" spans="10:21" s="5" customFormat="1"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</row>
    <row r="626" spans="10:21" s="5" customFormat="1"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</row>
    <row r="627" spans="10:21" s="5" customFormat="1"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</row>
    <row r="628" spans="10:21" s="5" customFormat="1"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</row>
    <row r="629" spans="10:21" s="5" customFormat="1"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</row>
    <row r="630" spans="10:21" s="5" customFormat="1"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</row>
    <row r="631" spans="10:21" s="5" customFormat="1"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</row>
    <row r="632" spans="10:21" s="5" customFormat="1"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</row>
    <row r="633" spans="10:21" s="5" customFormat="1"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</row>
    <row r="634" spans="10:21" s="5" customFormat="1"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</row>
    <row r="635" spans="10:21" s="5" customFormat="1"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</row>
    <row r="636" spans="10:21" s="5" customFormat="1"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</row>
    <row r="637" spans="10:21" s="5" customFormat="1"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</row>
    <row r="638" spans="10:21" s="5" customFormat="1"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</row>
    <row r="639" spans="10:21" s="5" customFormat="1"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</row>
    <row r="640" spans="10:21" s="5" customFormat="1"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</row>
    <row r="641" spans="10:21" s="5" customFormat="1"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</row>
    <row r="642" spans="10:21" s="5" customFormat="1"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</row>
    <row r="643" spans="10:21" s="5" customFormat="1"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</row>
    <row r="644" spans="10:21" s="5" customFormat="1"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</row>
    <row r="645" spans="10:21" s="5" customFormat="1"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</row>
    <row r="646" spans="10:21" s="5" customFormat="1"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</row>
    <row r="647" spans="10:21" s="5" customFormat="1"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</row>
    <row r="648" spans="10:21" s="5" customFormat="1"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</row>
    <row r="649" spans="10:21" s="5" customFormat="1"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</row>
    <row r="650" spans="10:21" s="5" customFormat="1"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</row>
    <row r="651" spans="10:21" s="5" customFormat="1"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</row>
    <row r="652" spans="10:21" s="5" customFormat="1"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</row>
    <row r="653" spans="10:21" s="5" customFormat="1"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</row>
    <row r="654" spans="10:21" s="5" customFormat="1"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</row>
    <row r="655" spans="10:21" s="5" customFormat="1"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</row>
    <row r="656" spans="10:21" s="5" customFormat="1"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</row>
    <row r="657" spans="10:21" s="5" customFormat="1"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</row>
    <row r="658" spans="10:21" s="5" customFormat="1"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</row>
    <row r="659" spans="10:21" s="5" customFormat="1"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</row>
    <row r="660" spans="10:21" s="5" customFormat="1"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</row>
    <row r="661" spans="10:21" s="5" customFormat="1"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</row>
    <row r="662" spans="10:21" s="5" customFormat="1"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</row>
    <row r="663" spans="10:21" s="5" customFormat="1"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</row>
    <row r="664" spans="10:21" s="5" customFormat="1"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</row>
    <row r="665" spans="10:21" s="5" customFormat="1"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</row>
    <row r="666" spans="10:21" s="5" customFormat="1"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</row>
    <row r="667" spans="10:21" s="5" customFormat="1"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</row>
    <row r="668" spans="10:21" s="5" customFormat="1"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</row>
    <row r="669" spans="10:21" s="5" customFormat="1"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</row>
    <row r="670" spans="10:21" s="5" customFormat="1"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</row>
    <row r="671" spans="10:21" s="5" customFormat="1"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</row>
    <row r="672" spans="10:21" s="5" customFormat="1"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</row>
    <row r="673" spans="10:21" s="5" customFormat="1"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</row>
    <row r="674" spans="10:21" s="5" customFormat="1"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</row>
    <row r="675" spans="10:21" s="5" customFormat="1"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</row>
    <row r="676" spans="10:21" s="5" customFormat="1"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</row>
    <row r="677" spans="10:21" s="5" customFormat="1"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</row>
    <row r="678" spans="10:21" s="5" customFormat="1"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</row>
    <row r="679" spans="10:21" s="5" customFormat="1"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</row>
    <row r="680" spans="10:21" s="5" customFormat="1"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</row>
    <row r="681" spans="10:21" s="5" customFormat="1"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</row>
    <row r="682" spans="10:21" s="5" customFormat="1"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</row>
    <row r="683" spans="10:21" s="5" customFormat="1"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</row>
    <row r="684" spans="10:21" s="5" customFormat="1"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</row>
    <row r="685" spans="10:21" s="5" customFormat="1"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</row>
    <row r="686" spans="10:21" s="5" customFormat="1"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</row>
    <row r="687" spans="10:21" s="5" customFormat="1"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</row>
    <row r="688" spans="10:21" s="5" customFormat="1"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</row>
    <row r="689" spans="10:21" s="5" customFormat="1"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</row>
    <row r="690" spans="10:21" s="5" customFormat="1"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</row>
    <row r="691" spans="10:21" s="5" customFormat="1"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</row>
    <row r="692" spans="10:21" s="5" customFormat="1"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</row>
    <row r="693" spans="10:21" s="5" customFormat="1"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</row>
    <row r="694" spans="10:21" s="5" customFormat="1"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</row>
    <row r="695" spans="10:21" s="5" customFormat="1"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</row>
    <row r="696" spans="10:21" s="5" customFormat="1"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</row>
    <row r="697" spans="10:21" s="5" customFormat="1"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</row>
    <row r="698" spans="10:21" s="5" customFormat="1"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</row>
    <row r="699" spans="10:21" s="5" customFormat="1"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</row>
    <row r="700" spans="10:21" s="5" customFormat="1"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</row>
    <row r="701" spans="10:21" s="5" customFormat="1"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</row>
    <row r="702" spans="10:21" s="5" customFormat="1"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</row>
    <row r="703" spans="10:21" s="5" customFormat="1"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</row>
    <row r="704" spans="10:21" s="5" customFormat="1"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</row>
    <row r="705" spans="10:21" s="5" customFormat="1"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</row>
    <row r="706" spans="10:21" s="5" customFormat="1"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</row>
    <row r="707" spans="10:21" s="5" customFormat="1"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</row>
    <row r="708" spans="10:21" s="5" customFormat="1"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</row>
    <row r="709" spans="10:21" s="5" customFormat="1"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</row>
    <row r="710" spans="10:21" s="5" customFormat="1"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</row>
    <row r="711" spans="10:21" s="5" customFormat="1"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</row>
    <row r="712" spans="10:21" s="5" customFormat="1"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</row>
    <row r="713" spans="10:21" s="5" customFormat="1"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</row>
    <row r="714" spans="10:21" s="5" customFormat="1"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</row>
    <row r="715" spans="10:21" s="5" customFormat="1"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</row>
    <row r="716" spans="10:21" s="5" customFormat="1"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</row>
    <row r="717" spans="10:21" s="5" customFormat="1"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</row>
    <row r="718" spans="10:21" s="5" customFormat="1"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</row>
    <row r="719" spans="10:21" s="5" customFormat="1"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</row>
    <row r="720" spans="10:21" s="5" customFormat="1"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</row>
    <row r="721" spans="2:21" s="5" customFormat="1"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</row>
    <row r="722" spans="2:21" s="5" customFormat="1"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</row>
    <row r="723" spans="2:21" s="5" customFormat="1"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</row>
    <row r="724" spans="2:21" s="5" customFormat="1"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</row>
    <row r="725" spans="2:21" s="5" customFormat="1"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</row>
    <row r="726" spans="2:21" s="5" customFormat="1"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</row>
    <row r="727" spans="2:21" s="5" customFormat="1"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</row>
    <row r="728" spans="2:21" s="5" customFormat="1"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</row>
    <row r="729" spans="2:21" s="5" customFormat="1"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</row>
    <row r="730" spans="2:21" s="5" customFormat="1"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</row>
    <row r="731" spans="2:21" s="5" customFormat="1"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</row>
    <row r="732" spans="2:21" s="5" customFormat="1"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</row>
    <row r="733" spans="2:21" s="5" customFormat="1"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</row>
    <row r="734" spans="2:21" s="5" customFormat="1"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</row>
    <row r="735" spans="2:21" s="5" customFormat="1">
      <c r="B735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</row>
  </sheetData>
  <customSheetViews>
    <customSheetView guid="{A17760D1-AAE4-45B9-A6C2-F2EA682A6BDE}" showRuler="0">
      <pane xSplit="9.6078431372549016" topLeftCell="L1"/>
      <selection activeCell="H37" sqref="H37:H39"/>
      <pageMargins left="0.74803149606299213" right="0.74803149606299213" top="0.98425196850393704" bottom="0.98425196850393704" header="0.51181102362204722" footer="0.51181102362204722"/>
      <pageSetup paperSize="9" scale="125" orientation="landscape" horizontalDpi="4294967293" verticalDpi="300" r:id="rId1"/>
      <headerFooter alignWithMargins="0"/>
    </customSheetView>
  </customSheetViews>
  <mergeCells count="110">
    <mergeCell ref="A24:A37"/>
    <mergeCell ref="M82:N82"/>
    <mergeCell ref="M83:N83"/>
    <mergeCell ref="L76:L80"/>
    <mergeCell ref="M76:N76"/>
    <mergeCell ref="M77:N77"/>
    <mergeCell ref="M78:N78"/>
    <mergeCell ref="M79:N79"/>
    <mergeCell ref="M80:N80"/>
    <mergeCell ref="M81:N81"/>
    <mergeCell ref="M70:N71"/>
    <mergeCell ref="O70:Q70"/>
    <mergeCell ref="B69:I69"/>
    <mergeCell ref="K70:K73"/>
    <mergeCell ref="M72:N72"/>
    <mergeCell ref="M73:N73"/>
    <mergeCell ref="F72:G72"/>
    <mergeCell ref="J70:J73"/>
    <mergeCell ref="A5:A21"/>
    <mergeCell ref="B13:B14"/>
    <mergeCell ref="B5:B7"/>
    <mergeCell ref="A39:A52"/>
    <mergeCell ref="B68:E68"/>
    <mergeCell ref="F70:G70"/>
    <mergeCell ref="A55:A64"/>
    <mergeCell ref="C65:E65"/>
    <mergeCell ref="F66:I66"/>
    <mergeCell ref="D16:D17"/>
    <mergeCell ref="K76:K77"/>
    <mergeCell ref="K74:K75"/>
    <mergeCell ref="J74:J75"/>
    <mergeCell ref="M74:N74"/>
    <mergeCell ref="L69:Q69"/>
    <mergeCell ref="L72:L75"/>
    <mergeCell ref="M75:N75"/>
    <mergeCell ref="L70:L71"/>
    <mergeCell ref="J69:K69"/>
    <mergeCell ref="J76:J77"/>
    <mergeCell ref="I8:I10"/>
    <mergeCell ref="D18:D19"/>
    <mergeCell ref="B67:E67"/>
    <mergeCell ref="B66:E66"/>
    <mergeCell ref="F18:F19"/>
    <mergeCell ref="F16:F17"/>
    <mergeCell ref="I11:I12"/>
    <mergeCell ref="I13:I14"/>
    <mergeCell ref="I18:I19"/>
    <mergeCell ref="G16:G17"/>
    <mergeCell ref="F68:I68"/>
    <mergeCell ref="G18:G19"/>
    <mergeCell ref="F65:I65"/>
    <mergeCell ref="H18:H19"/>
    <mergeCell ref="G13:G14"/>
    <mergeCell ref="F67:I67"/>
    <mergeCell ref="G5:G7"/>
    <mergeCell ref="B8:B10"/>
    <mergeCell ref="I5:I7"/>
    <mergeCell ref="H5:H14"/>
    <mergeCell ref="F5:F7"/>
    <mergeCell ref="D5:D15"/>
    <mergeCell ref="B11:B12"/>
    <mergeCell ref="G11:G12"/>
    <mergeCell ref="F11:F12"/>
    <mergeCell ref="F13:F14"/>
    <mergeCell ref="J1:AE1"/>
    <mergeCell ref="J2:AE2"/>
    <mergeCell ref="J3:AE3"/>
    <mergeCell ref="G8:G10"/>
    <mergeCell ref="AA14:AE14"/>
    <mergeCell ref="J15:K15"/>
    <mergeCell ref="B1:I1"/>
    <mergeCell ref="B2:I2"/>
    <mergeCell ref="B3:I3"/>
    <mergeCell ref="F8:F10"/>
    <mergeCell ref="J20:K20"/>
    <mergeCell ref="AC19:AE19"/>
    <mergeCell ref="J14:K14"/>
    <mergeCell ref="P14:R14"/>
    <mergeCell ref="S14:U14"/>
    <mergeCell ref="V14:Z14"/>
    <mergeCell ref="L19:R19"/>
    <mergeCell ref="T19:Z19"/>
    <mergeCell ref="C94:G94"/>
    <mergeCell ref="F79:G79"/>
    <mergeCell ref="F80:G80"/>
    <mergeCell ref="F81:G81"/>
    <mergeCell ref="F82:G82"/>
    <mergeCell ref="F86:G86"/>
    <mergeCell ref="F90:H90"/>
    <mergeCell ref="F91:H91"/>
    <mergeCell ref="F89:H89"/>
    <mergeCell ref="F88:H88"/>
    <mergeCell ref="F77:G77"/>
    <mergeCell ref="F78:G78"/>
    <mergeCell ref="F73:G73"/>
    <mergeCell ref="F84:G84"/>
    <mergeCell ref="F83:G83"/>
    <mergeCell ref="F76:G76"/>
    <mergeCell ref="F74:G74"/>
    <mergeCell ref="F75:G75"/>
    <mergeCell ref="F93:H93"/>
    <mergeCell ref="F92:H92"/>
    <mergeCell ref="J16:K16"/>
    <mergeCell ref="J19:K19"/>
    <mergeCell ref="I16:I17"/>
    <mergeCell ref="H16:H17"/>
    <mergeCell ref="F71:G71"/>
    <mergeCell ref="F85:G85"/>
    <mergeCell ref="J21:K21"/>
    <mergeCell ref="F87:G87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horizontalDpi="300" verticalDpi="300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Περιοχές με ονόματα</vt:lpstr>
      </vt:variant>
      <vt:variant>
        <vt:i4>7</vt:i4>
      </vt:variant>
    </vt:vector>
  </HeadingPairs>
  <TitlesOfParts>
    <vt:vector size="14" baseType="lpstr">
      <vt:lpstr>ΜΙΣΘΟΔΟΣΙΑ ΜΟΝΙΜΩΝ</vt:lpstr>
      <vt:lpstr>ΜΙΣΘΟΔΟΣΙΑ ΜΟΝΙΜΩΝ Π.Μ.</vt:lpstr>
      <vt:lpstr>ΜΙΣΘΟΔΟΣΙΑ ΑΝΑΠΛΗΡΩΤΩΝ</vt:lpstr>
      <vt:lpstr>ΜΙΣΘΟΔΟΣΙΑ ΩΡΟΜΙΣΘΙΩΝ</vt:lpstr>
      <vt:lpstr>ΜΙΣΘΟΔΟΣΙΑ ΜΗΧΑΝΙΚΩΝ</vt:lpstr>
      <vt:lpstr>ΜΙΣΘΟΔΟΣΙΑ ΜΗΧΑΝΙΚΩΝ Π.Μ.</vt:lpstr>
      <vt:lpstr>ΜΙΣΘΟΔΟΣΙΑ ΑΝΑΠΛΗΡ. ΜΗΧΑΝΙΚΩΝ</vt:lpstr>
      <vt:lpstr>'ΜΙΣΘΟΔΟΣΙΑ ΑΝΑΠΛΗΡ. ΜΗΧΑΝΙΚΩΝ'!Print_Area</vt:lpstr>
      <vt:lpstr>'ΜΙΣΘΟΔΟΣΙΑ ΑΝΑΠΛΗΡΩΤΩΝ'!Print_Area</vt:lpstr>
      <vt:lpstr>'ΜΙΣΘΟΔΟΣΙΑ ΜΗΧΑΝΙΚΩΝ'!Print_Area</vt:lpstr>
      <vt:lpstr>'ΜΙΣΘΟΔΟΣΙΑ ΜΗΧΑΝΙΚΩΝ Π.Μ.'!Print_Area</vt:lpstr>
      <vt:lpstr>'ΜΙΣΘΟΔΟΣΙΑ ΜΟΝΙΜΩΝ'!Print_Area</vt:lpstr>
      <vt:lpstr>'ΜΙΣΘΟΔΟΣΙΑ ΜΟΝΙΜΩΝ Π.Μ.'!Print_Area</vt:lpstr>
      <vt:lpstr>'ΜΙΣΘΟΔΟΣΙΑ ΩΡΟΜΙΣΘΙΩΝ'!Print_Area</vt:lpstr>
    </vt:vector>
  </TitlesOfParts>
  <Manager>ΧΟΥΛΙΑΡΑΣ ΒΑΣΙΛΕΙΟΣ ΤΟΥ ΙΩΑΝΝΗ</Manager>
  <Company>ΧΟΥΛΙΑΡΑΣ ΒΑΣΙΛΕΙΟΣ ΤΟΥ ΙΩΑΝΝΗ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ΥΠΟΛΟΓΙΣΜΟΣ ΤΗΣ ΜΙΣΘΟΔΟΣΙΑΣ ΤΩΝ ΕΚΠΑΙΔΕΥΤΙΚΩΝ 2012-Β2</dc:title>
  <dc:creator>ΧΟΥΛΙΑΡΑΣ ΒΑΣΙΛΕΙΟΣ ΤΟΥ ΙΩΑΝΝΗ</dc:creator>
  <cp:lastModifiedBy>User</cp:lastModifiedBy>
  <cp:lastPrinted>2020-10-05T14:58:14Z</cp:lastPrinted>
  <dcterms:created xsi:type="dcterms:W3CDTF">2003-02-26T08:29:31Z</dcterms:created>
  <dcterms:modified xsi:type="dcterms:W3CDTF">2022-06-28T07:37:09Z</dcterms:modified>
</cp:coreProperties>
</file>